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2"/>
  <workbookPr/>
  <mc:AlternateContent xmlns:mc="http://schemas.openxmlformats.org/markup-compatibility/2006">
    <mc:Choice Requires="x15">
      <x15ac:absPath xmlns:x15ac="http://schemas.microsoft.com/office/spreadsheetml/2010/11/ac" url="/Users/carolinagonzalez/Desktop/"/>
    </mc:Choice>
  </mc:AlternateContent>
  <xr:revisionPtr revIDLastSave="0" documentId="13_ncr:1_{9436B9DA-005E-FF4E-94DA-5CA075D553C9}" xr6:coauthVersionLast="44" xr6:coauthVersionMax="44" xr10:uidLastSave="{00000000-0000-0000-0000-000000000000}"/>
  <bookViews>
    <workbookView xWindow="0" yWindow="460" windowWidth="25600" windowHeight="14160" activeTab="3" xr2:uid="{00000000-000D-0000-FFFF-FFFF00000000}"/>
  </bookViews>
  <sheets>
    <sheet name="Calendario" sheetId="9" r:id="rId1"/>
    <sheet name="Plat. Estratégica" sheetId="7" r:id="rId2"/>
    <sheet name="Plan de acción" sheetId="8" r:id="rId3"/>
    <sheet name="Agenda 2023" sheetId="3" r:id="rId4"/>
    <sheet name="Reg. Hábitos" sheetId="6" r:id="rId5"/>
    <sheet name="Matriz Importante Urgente" sheetId="4" r:id="rId6"/>
    <sheet name="Recursos recomendados" sheetId="5" r:id="rId7"/>
  </sheets>
  <definedNames>
    <definedName name="AgoDom1">DATEVALUE("1/8/"&amp;Calendario!$B$1)-WEEKDAY(DATEVALUE("1/8/"&amp;Calendario!$B$1))-5</definedName>
    <definedName name="Año">Calendario!$B$1</definedName>
    <definedName name="AprSun1">DATEVALUE("1/4/"&amp;Calendario!$B$1)-WEEKDAY(DATEVALUE("1/4/"&amp;Calendario!$B$1))+2</definedName>
    <definedName name="DecSun1">DATEVALUE("1/12/"&amp;Calendario!$B$1)-WEEKDAY(DATEVALUE("1/12/"&amp;Calendario!$B$1))+2</definedName>
    <definedName name="FebSun1">DATEVALUE("1/2/"&amp;Calendario!$B$1)-WEEKDAY(DATEVALUE("1/2/"&amp;Calendario!$B$1))+2</definedName>
    <definedName name="JanSun1">DATEVALUE("1/1/"&amp;Calendario!$B$1)-WEEKDAY(DATEVALUE("1/1/"&amp;Calendario!$B$1))+2</definedName>
    <definedName name="JulSun1">DATEVALUE("1/7/"&amp;Calendario!$B$1)-WEEKDAY(DATEVALUE("1/7/"&amp;Calendario!$B$1))+2</definedName>
    <definedName name="JunSun1">DATEVALUE("1/6/"&amp;Calendario!$B$1)-WEEKDAY(DATEVALUE("1/6/"&amp;Calendario!$B$1))+2</definedName>
    <definedName name="MarSun1">DATEVALUE("1/3/"&amp;Calendario!$B$1)-WEEKDAY(DATEVALUE("1/3/"&amp;Calendario!$B$1))+2</definedName>
    <definedName name="MaySun1">DATEVALUE("1/5/"&amp;Calendario!$B$1)-WEEKDAY(DATEVALUE("1/5/"&amp;Calendario!$B$1))+2</definedName>
    <definedName name="mes">'Agenda 2023'!#REF!</definedName>
    <definedName name="NovSun1">DATEVALUE("1/11/"&amp;Calendario!$B$1)-WEEKDAY(DATEVALUE("1/11/"&amp;Calendario!$B$1))+2</definedName>
    <definedName name="OctSun1">DATEVALUE("1/10/"&amp;Calendario!$B$1)-WEEKDAY(DATEVALUE("1/10/"&amp;Calendario!$B$1))+2</definedName>
    <definedName name="SepDom1">DATEVALUE("1/9/"&amp;Calendario!$B$1)-WEEKDAY(DATEVALUE("1/9/"&amp;Calendario!$B$1))+2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7" i="9" l="1"/>
  <c r="B4" i="9" l="1"/>
  <c r="K4" i="9"/>
  <c r="T4" i="9"/>
  <c r="X4" i="9"/>
  <c r="B5" i="9"/>
  <c r="K5" i="9"/>
  <c r="O5" i="9"/>
  <c r="X5" i="9"/>
  <c r="B6" i="9"/>
  <c r="K6" i="9"/>
  <c r="O6" i="9"/>
  <c r="X6" i="9"/>
  <c r="J7" i="9"/>
  <c r="AB7" i="9"/>
  <c r="E8" i="9"/>
  <c r="W8" i="9"/>
  <c r="J9" i="9"/>
  <c r="S9" i="9"/>
  <c r="G13" i="9"/>
  <c r="T13" i="9"/>
  <c r="L14" i="9"/>
  <c r="X14" i="9"/>
  <c r="P15" i="9"/>
  <c r="H16" i="9"/>
  <c r="U16" i="9"/>
  <c r="M17" i="9"/>
  <c r="F18" i="9"/>
  <c r="R18" i="9"/>
  <c r="K22" i="9"/>
  <c r="V22" i="9"/>
  <c r="C23" i="9"/>
  <c r="O23" i="9"/>
  <c r="AA23" i="9"/>
  <c r="G24" i="9"/>
  <c r="T24" i="9"/>
  <c r="AE24" i="9"/>
  <c r="X25" i="9"/>
  <c r="P26" i="9"/>
  <c r="G4" i="9"/>
  <c r="L4" i="9"/>
  <c r="U4" i="9"/>
  <c r="Z4" i="9"/>
  <c r="C5" i="9"/>
  <c r="L5" i="9"/>
  <c r="U5" i="9"/>
  <c r="AD5" i="9"/>
  <c r="C6" i="9"/>
  <c r="L6" i="9"/>
  <c r="U6" i="9"/>
  <c r="B7" i="9"/>
  <c r="T7" i="9"/>
  <c r="F8" i="9"/>
  <c r="X8" i="9"/>
  <c r="K9" i="9"/>
  <c r="AC9" i="9"/>
  <c r="H13" i="9"/>
  <c r="U13" i="9"/>
  <c r="B14" i="9"/>
  <c r="M14" i="9"/>
  <c r="Z14" i="9"/>
  <c r="F15" i="9"/>
  <c r="R15" i="9"/>
  <c r="AD15" i="9"/>
  <c r="K16" i="9"/>
  <c r="V16" i="9"/>
  <c r="C17" i="9"/>
  <c r="O17" i="9"/>
  <c r="AA17" i="9"/>
  <c r="G18" i="9"/>
  <c r="T18" i="9"/>
  <c r="AE18" i="9"/>
  <c r="L22" i="9"/>
  <c r="X22" i="9"/>
  <c r="D23" i="9"/>
  <c r="P23" i="9"/>
  <c r="AC23" i="9"/>
  <c r="H24" i="9"/>
  <c r="U24" i="9"/>
  <c r="F25" i="9"/>
  <c r="AD25" i="9"/>
  <c r="V26" i="9"/>
  <c r="O27" i="9"/>
  <c r="F4" i="9"/>
  <c r="O4" i="9"/>
  <c r="AC4" i="9"/>
  <c r="F5" i="9"/>
  <c r="T5" i="9"/>
  <c r="AC5" i="9"/>
  <c r="F6" i="9"/>
  <c r="T6" i="9"/>
  <c r="AF6" i="9"/>
  <c r="S7" i="9"/>
  <c r="N8" i="9"/>
  <c r="AF8" i="9"/>
  <c r="AB9" i="9"/>
  <c r="AE13" i="9"/>
  <c r="D15" i="9"/>
  <c r="AC15" i="9"/>
  <c r="B17" i="9"/>
  <c r="Z17" i="9"/>
  <c r="AD18" i="9"/>
  <c r="H27" i="9"/>
  <c r="C4" i="9"/>
  <c r="P4" i="9"/>
  <c r="AD4" i="9"/>
  <c r="G5" i="9"/>
  <c r="P5" i="9"/>
  <c r="Z5" i="9"/>
  <c r="G6" i="9"/>
  <c r="P6" i="9"/>
  <c r="Z6" i="9"/>
  <c r="K7" i="9"/>
  <c r="AC7" i="9"/>
  <c r="O8" i="9"/>
  <c r="B9" i="9"/>
  <c r="T9" i="9"/>
  <c r="D4" i="9"/>
  <c r="H4" i="9"/>
  <c r="M4" i="9"/>
  <c r="R4" i="9"/>
  <c r="V4" i="9"/>
  <c r="AA4" i="9"/>
  <c r="AE4" i="9"/>
  <c r="D5" i="9"/>
  <c r="H5" i="9"/>
  <c r="M5" i="9"/>
  <c r="R5" i="9"/>
  <c r="V5" i="9"/>
  <c r="AA5" i="9"/>
  <c r="AE5" i="9"/>
  <c r="D6" i="9"/>
  <c r="H6" i="9"/>
  <c r="M6" i="9"/>
  <c r="R6" i="9"/>
  <c r="V6" i="9"/>
  <c r="AB6" i="9"/>
  <c r="E7" i="9"/>
  <c r="N7" i="9"/>
  <c r="W7" i="9"/>
  <c r="AF7" i="9"/>
  <c r="J8" i="9"/>
  <c r="S8" i="9"/>
  <c r="AB8" i="9"/>
  <c r="E9" i="9"/>
  <c r="N9" i="9"/>
  <c r="W9" i="9"/>
  <c r="B13" i="9"/>
  <c r="M13" i="9"/>
  <c r="Z13" i="9"/>
  <c r="F14" i="9"/>
  <c r="R14" i="9"/>
  <c r="AD14" i="9"/>
  <c r="K15" i="9"/>
  <c r="V15" i="9"/>
  <c r="C16" i="9"/>
  <c r="O16" i="9"/>
  <c r="AA16" i="9"/>
  <c r="G17" i="9"/>
  <c r="T17" i="9"/>
  <c r="AE17" i="9"/>
  <c r="L18" i="9"/>
  <c r="X18" i="9"/>
  <c r="D22" i="9"/>
  <c r="P22" i="9"/>
  <c r="AC22" i="9"/>
  <c r="H23" i="9"/>
  <c r="U23" i="9"/>
  <c r="B24" i="9"/>
  <c r="M24" i="9"/>
  <c r="Z24" i="9"/>
  <c r="L25" i="9"/>
  <c r="D26" i="9"/>
  <c r="AC26" i="9"/>
  <c r="AF27" i="9"/>
  <c r="AB27" i="9"/>
  <c r="W27" i="9"/>
  <c r="S27" i="9"/>
  <c r="N27" i="9"/>
  <c r="J27" i="9"/>
  <c r="E27" i="9"/>
  <c r="AF26" i="9"/>
  <c r="AB26" i="9"/>
  <c r="W26" i="9"/>
  <c r="S26" i="9"/>
  <c r="N26" i="9"/>
  <c r="J26" i="9"/>
  <c r="E26" i="9"/>
  <c r="AF25" i="9"/>
  <c r="AB25" i="9"/>
  <c r="W25" i="9"/>
  <c r="S25" i="9"/>
  <c r="N25" i="9"/>
  <c r="J25" i="9"/>
  <c r="E25" i="9"/>
  <c r="AF24" i="9"/>
  <c r="AB24" i="9"/>
  <c r="W24" i="9"/>
  <c r="S24" i="9"/>
  <c r="N24" i="9"/>
  <c r="J24" i="9"/>
  <c r="E24" i="9"/>
  <c r="AF23" i="9"/>
  <c r="AB23" i="9"/>
  <c r="W23" i="9"/>
  <c r="S23" i="9"/>
  <c r="N23" i="9"/>
  <c r="J23" i="9"/>
  <c r="E23" i="9"/>
  <c r="AF22" i="9"/>
  <c r="AB22" i="9"/>
  <c r="W22" i="9"/>
  <c r="S22" i="9"/>
  <c r="N22" i="9"/>
  <c r="J22" i="9"/>
  <c r="E22" i="9"/>
  <c r="AF18" i="9"/>
  <c r="AB18" i="9"/>
  <c r="W18" i="9"/>
  <c r="S18" i="9"/>
  <c r="N18" i="9"/>
  <c r="J18" i="9"/>
  <c r="E18" i="9"/>
  <c r="AF17" i="9"/>
  <c r="AB17" i="9"/>
  <c r="W17" i="9"/>
  <c r="S17" i="9"/>
  <c r="N17" i="9"/>
  <c r="J17" i="9"/>
  <c r="E17" i="9"/>
  <c r="AF16" i="9"/>
  <c r="AB16" i="9"/>
  <c r="W16" i="9"/>
  <c r="S16" i="9"/>
  <c r="N16" i="9"/>
  <c r="J16" i="9"/>
  <c r="E16" i="9"/>
  <c r="AF15" i="9"/>
  <c r="AB15" i="9"/>
  <c r="W15" i="9"/>
  <c r="S15" i="9"/>
  <c r="N15" i="9"/>
  <c r="J15" i="9"/>
  <c r="E15" i="9"/>
  <c r="AF14" i="9"/>
  <c r="AB14" i="9"/>
  <c r="W14" i="9"/>
  <c r="S14" i="9"/>
  <c r="N14" i="9"/>
  <c r="J14" i="9"/>
  <c r="E14" i="9"/>
  <c r="AF13" i="9"/>
  <c r="AB13" i="9"/>
  <c r="W13" i="9"/>
  <c r="S13" i="9"/>
  <c r="N13" i="9"/>
  <c r="J13" i="9"/>
  <c r="E13" i="9"/>
  <c r="AF9" i="9"/>
  <c r="AE27" i="9"/>
  <c r="Z27" i="9"/>
  <c r="T27" i="9"/>
  <c r="M27" i="9"/>
  <c r="G27" i="9"/>
  <c r="B27" i="9"/>
  <c r="AA26" i="9"/>
  <c r="U26" i="9"/>
  <c r="O26" i="9"/>
  <c r="H26" i="9"/>
  <c r="C26" i="9"/>
  <c r="AC25" i="9"/>
  <c r="V25" i="9"/>
  <c r="P25" i="9"/>
  <c r="K25" i="9"/>
  <c r="D25" i="9"/>
  <c r="AD24" i="9"/>
  <c r="X24" i="9"/>
  <c r="R24" i="9"/>
  <c r="L24" i="9"/>
  <c r="F24" i="9"/>
  <c r="AE23" i="9"/>
  <c r="Z23" i="9"/>
  <c r="T23" i="9"/>
  <c r="M23" i="9"/>
  <c r="G23" i="9"/>
  <c r="B23" i="9"/>
  <c r="AA22" i="9"/>
  <c r="U22" i="9"/>
  <c r="O22" i="9"/>
  <c r="H22" i="9"/>
  <c r="C22" i="9"/>
  <c r="AC18" i="9"/>
  <c r="V18" i="9"/>
  <c r="P18" i="9"/>
  <c r="K18" i="9"/>
  <c r="D18" i="9"/>
  <c r="AD17" i="9"/>
  <c r="X17" i="9"/>
  <c r="R17" i="9"/>
  <c r="L17" i="9"/>
  <c r="F17" i="9"/>
  <c r="AE16" i="9"/>
  <c r="Z16" i="9"/>
  <c r="T16" i="9"/>
  <c r="M16" i="9"/>
  <c r="G16" i="9"/>
  <c r="B16" i="9"/>
  <c r="AA15" i="9"/>
  <c r="U15" i="9"/>
  <c r="O15" i="9"/>
  <c r="H15" i="9"/>
  <c r="C15" i="9"/>
  <c r="AC14" i="9"/>
  <c r="V14" i="9"/>
  <c r="P14" i="9"/>
  <c r="K14" i="9"/>
  <c r="D14" i="9"/>
  <c r="AD13" i="9"/>
  <c r="X13" i="9"/>
  <c r="R13" i="9"/>
  <c r="L13" i="9"/>
  <c r="F13" i="9"/>
  <c r="AE9" i="9"/>
  <c r="AA9" i="9"/>
  <c r="V9" i="9"/>
  <c r="R9" i="9"/>
  <c r="M9" i="9"/>
  <c r="H9" i="9"/>
  <c r="D9" i="9"/>
  <c r="AE8" i="9"/>
  <c r="AA8" i="9"/>
  <c r="V8" i="9"/>
  <c r="R8" i="9"/>
  <c r="M8" i="9"/>
  <c r="H8" i="9"/>
  <c r="D8" i="9"/>
  <c r="AE7" i="9"/>
  <c r="AA7" i="9"/>
  <c r="V7" i="9"/>
  <c r="R7" i="9"/>
  <c r="M7" i="9"/>
  <c r="H7" i="9"/>
  <c r="D7" i="9"/>
  <c r="AE6" i="9"/>
  <c r="AA6" i="9"/>
  <c r="AD27" i="9"/>
  <c r="X27" i="9"/>
  <c r="R27" i="9"/>
  <c r="L27" i="9"/>
  <c r="F27" i="9"/>
  <c r="AE26" i="9"/>
  <c r="Z26" i="9"/>
  <c r="T26" i="9"/>
  <c r="M26" i="9"/>
  <c r="G26" i="9"/>
  <c r="B26" i="9"/>
  <c r="AA25" i="9"/>
  <c r="U25" i="9"/>
  <c r="O25" i="9"/>
  <c r="H25" i="9"/>
  <c r="C25" i="9"/>
  <c r="AC24" i="9"/>
  <c r="V24" i="9"/>
  <c r="P24" i="9"/>
  <c r="K24" i="9"/>
  <c r="D24" i="9"/>
  <c r="AD23" i="9"/>
  <c r="X23" i="9"/>
  <c r="R23" i="9"/>
  <c r="L23" i="9"/>
  <c r="F23" i="9"/>
  <c r="AE22" i="9"/>
  <c r="Z22" i="9"/>
  <c r="T22" i="9"/>
  <c r="M22" i="9"/>
  <c r="G22" i="9"/>
  <c r="B22" i="9"/>
  <c r="AA18" i="9"/>
  <c r="U18" i="9"/>
  <c r="O18" i="9"/>
  <c r="H18" i="9"/>
  <c r="C18" i="9"/>
  <c r="AC17" i="9"/>
  <c r="V17" i="9"/>
  <c r="P17" i="9"/>
  <c r="K17" i="9"/>
  <c r="D17" i="9"/>
  <c r="AD16" i="9"/>
  <c r="X16" i="9"/>
  <c r="R16" i="9"/>
  <c r="L16" i="9"/>
  <c r="F16" i="9"/>
  <c r="AE15" i="9"/>
  <c r="Z15" i="9"/>
  <c r="T15" i="9"/>
  <c r="M15" i="9"/>
  <c r="G15" i="9"/>
  <c r="B15" i="9"/>
  <c r="AA14" i="9"/>
  <c r="U14" i="9"/>
  <c r="O14" i="9"/>
  <c r="H14" i="9"/>
  <c r="C14" i="9"/>
  <c r="AC13" i="9"/>
  <c r="V13" i="9"/>
  <c r="P13" i="9"/>
  <c r="K13" i="9"/>
  <c r="D13" i="9"/>
  <c r="AD9" i="9"/>
  <c r="Z9" i="9"/>
  <c r="U9" i="9"/>
  <c r="P9" i="9"/>
  <c r="L9" i="9"/>
  <c r="G9" i="9"/>
  <c r="C9" i="9"/>
  <c r="AD8" i="9"/>
  <c r="Z8" i="9"/>
  <c r="U8" i="9"/>
  <c r="P8" i="9"/>
  <c r="L8" i="9"/>
  <c r="G8" i="9"/>
  <c r="C8" i="9"/>
  <c r="AD7" i="9"/>
  <c r="Z7" i="9"/>
  <c r="U7" i="9"/>
  <c r="P7" i="9"/>
  <c r="L7" i="9"/>
  <c r="G7" i="9"/>
  <c r="C7" i="9"/>
  <c r="AD6" i="9"/>
  <c r="AC27" i="9"/>
  <c r="V27" i="9"/>
  <c r="P27" i="9"/>
  <c r="K27" i="9"/>
  <c r="D27" i="9"/>
  <c r="AD26" i="9"/>
  <c r="X26" i="9"/>
  <c r="R26" i="9"/>
  <c r="L26" i="9"/>
  <c r="F26" i="9"/>
  <c r="AE25" i="9"/>
  <c r="Z25" i="9"/>
  <c r="T25" i="9"/>
  <c r="M25" i="9"/>
  <c r="G25" i="9"/>
  <c r="B25" i="9"/>
  <c r="E4" i="9"/>
  <c r="J4" i="9"/>
  <c r="N4" i="9"/>
  <c r="S4" i="9"/>
  <c r="W4" i="9"/>
  <c r="AB4" i="9"/>
  <c r="AF4" i="9"/>
  <c r="E5" i="9"/>
  <c r="J5" i="9"/>
  <c r="N5" i="9"/>
  <c r="S5" i="9"/>
  <c r="W5" i="9"/>
  <c r="AB5" i="9"/>
  <c r="AF5" i="9"/>
  <c r="E6" i="9"/>
  <c r="J6" i="9"/>
  <c r="N6" i="9"/>
  <c r="S6" i="9"/>
  <c r="W6" i="9"/>
  <c r="AC6" i="9"/>
  <c r="F7" i="9"/>
  <c r="O7" i="9"/>
  <c r="X7" i="9"/>
  <c r="B8" i="9"/>
  <c r="K8" i="9"/>
  <c r="T8" i="9"/>
  <c r="AC8" i="9"/>
  <c r="F9" i="9"/>
  <c r="O9" i="9"/>
  <c r="X9" i="9"/>
  <c r="C13" i="9"/>
  <c r="O13" i="9"/>
  <c r="AA13" i="9"/>
  <c r="G14" i="9"/>
  <c r="T14" i="9"/>
  <c r="AE14" i="9"/>
  <c r="L15" i="9"/>
  <c r="X15" i="9"/>
  <c r="D16" i="9"/>
  <c r="P16" i="9"/>
  <c r="AC16" i="9"/>
  <c r="H17" i="9"/>
  <c r="U17" i="9"/>
  <c r="B18" i="9"/>
  <c r="M18" i="9"/>
  <c r="Z18" i="9"/>
  <c r="F22" i="9"/>
  <c r="R22" i="9"/>
  <c r="AD22" i="9"/>
  <c r="K23" i="9"/>
  <c r="V23" i="9"/>
  <c r="C24" i="9"/>
  <c r="O24" i="9"/>
  <c r="AA24" i="9"/>
  <c r="R25" i="9"/>
  <c r="K26" i="9"/>
  <c r="C27" i="9"/>
  <c r="AA27" i="9"/>
</calcChain>
</file>

<file path=xl/sharedStrings.xml><?xml version="1.0" encoding="utf-8"?>
<sst xmlns="http://schemas.openxmlformats.org/spreadsheetml/2006/main" count="765" uniqueCount="128">
  <si>
    <t>TAREAS SEMANALES</t>
  </si>
  <si>
    <t>MATRIZ URGENTE / IMPORTANTE</t>
  </si>
  <si>
    <t>ESPIRITUAL</t>
  </si>
  <si>
    <t>MENTAL</t>
  </si>
  <si>
    <t>FÍSICO</t>
  </si>
  <si>
    <t>SOCIAL</t>
  </si>
  <si>
    <t>VALORES</t>
  </si>
  <si>
    <t>IMPORTANTE</t>
  </si>
  <si>
    <t>CUADRANTE 1</t>
  </si>
  <si>
    <t>Proyectos de última hora</t>
  </si>
  <si>
    <t>Crisis</t>
  </si>
  <si>
    <t>Reuniones sin previo aviso</t>
  </si>
  <si>
    <t>Llamadas urgentes</t>
  </si>
  <si>
    <t>RESULTADO</t>
  </si>
  <si>
    <t>Estrés. Cansancio. Apagafuegos</t>
  </si>
  <si>
    <t>CUADRANTE 2</t>
  </si>
  <si>
    <t>Desarrollo personal</t>
  </si>
  <si>
    <t>Construcción de relaciones</t>
  </si>
  <si>
    <t>Ejercicio físico y descanso</t>
  </si>
  <si>
    <t>Planificación y preparación previa</t>
  </si>
  <si>
    <t>Órden. Claridad. Productividad con sentido</t>
  </si>
  <si>
    <t>NO IMPORTANTE</t>
  </si>
  <si>
    <t>CUADRANTE 3</t>
  </si>
  <si>
    <t>Informes que nadie leerá</t>
  </si>
  <si>
    <t>Reuniones sin agenda</t>
  </si>
  <si>
    <t>Objetivos y planes sin sentido a corto plazo.</t>
  </si>
  <si>
    <t>CUADRANTE 4</t>
  </si>
  <si>
    <t>Distracciones [café, tareas de casa, redes sociales]</t>
  </si>
  <si>
    <t>Actividades de ocio y placer no planificadas</t>
  </si>
  <si>
    <t>Dormir más de lo necesario</t>
  </si>
  <si>
    <t>Procrastinación. Irresponsabilidad</t>
  </si>
  <si>
    <t>Llamadas imprevistas e interrupciones</t>
  </si>
  <si>
    <t>OTRAS RECOMENDACIONES</t>
  </si>
  <si>
    <t>Complementa tus conocimiento con alguna de estas formaciones:</t>
  </si>
  <si>
    <t>18 HACKS DE PRODUCTIVIDAD PERSONAL</t>
  </si>
  <si>
    <t>PRODUCTIVIDAD TOTAL</t>
  </si>
  <si>
    <r>
      <t xml:space="preserve">Empieza las tareas ejecutando primero tu </t>
    </r>
    <r>
      <rPr>
        <b/>
        <sz val="11"/>
        <color theme="1"/>
        <rFont val="Calibri"/>
        <family val="2"/>
        <scheme val="minor"/>
      </rPr>
      <t>roca</t>
    </r>
    <r>
      <rPr>
        <sz val="11"/>
        <color theme="1"/>
        <rFont val="Calibri"/>
        <family val="2"/>
        <scheme val="minor"/>
      </rPr>
      <t xml:space="preserve"> diaria</t>
    </r>
  </si>
  <si>
    <t>ROL No. 1</t>
  </si>
  <si>
    <t>ROL No. 2</t>
  </si>
  <si>
    <t>ROL No. 3</t>
  </si>
  <si>
    <t>RECURSOS GRATUITOS</t>
  </si>
  <si>
    <t>Playlist PRODUCTIVIDAD</t>
  </si>
  <si>
    <t>https://www.youtube.com/watch?v=a0eAVUu7Mx8&amp;list=PLEXm7gAfOxh4ULJGi5LWUEgWa4OLp3SDy</t>
  </si>
  <si>
    <t>LUNES</t>
  </si>
  <si>
    <t>MARTES</t>
  </si>
  <si>
    <t>MIÉRCOLES</t>
  </si>
  <si>
    <t>JUEVES</t>
  </si>
  <si>
    <t>VIERNES</t>
  </si>
  <si>
    <t>SÁBADO</t>
  </si>
  <si>
    <t>DOMINGO</t>
  </si>
  <si>
    <t>HORA</t>
  </si>
  <si>
    <t>SEPTIEMBRE</t>
  </si>
  <si>
    <t>MES:</t>
  </si>
  <si>
    <t>SEMANA:</t>
  </si>
  <si>
    <t>OCTUBRE</t>
  </si>
  <si>
    <t>NOVIEMBRE</t>
  </si>
  <si>
    <t>DICIEMBRE</t>
  </si>
  <si>
    <t>MISIÓN</t>
  </si>
  <si>
    <t>Realiza pausas de 5 minutos en cada cambio de actividad o utiliza pomodoros para desenfocar y reenfocar</t>
  </si>
  <si>
    <t>RECURSOS DE PAGO</t>
  </si>
  <si>
    <t>Curso online de iniciación:</t>
  </si>
  <si>
    <t>Curso online avanzado:</t>
  </si>
  <si>
    <t>Libro</t>
  </si>
  <si>
    <t>La agenda de cuarta generación</t>
  </si>
  <si>
    <t xml:space="preserve">VISIÓN   </t>
  </si>
  <si>
    <t>ÁREAS</t>
  </si>
  <si>
    <t>ROLES</t>
  </si>
  <si>
    <t>ROL No. 4</t>
  </si>
  <si>
    <t>ROL No.5</t>
  </si>
  <si>
    <t>ROL No.6</t>
  </si>
  <si>
    <t>ROL No.7</t>
  </si>
  <si>
    <t>ROL No.8</t>
  </si>
  <si>
    <t>OBJETIVOS</t>
  </si>
  <si>
    <t>Masterclass online gratuita</t>
  </si>
  <si>
    <t>Hábitos de ultraproductividad para emprendedores</t>
  </si>
  <si>
    <t>Reserva tu SESIÓN ESTRATÉGICA GRATIS</t>
  </si>
  <si>
    <t>https://calendly.com/fabiangonzalezh/sesionestrategica</t>
  </si>
  <si>
    <t>Enero</t>
  </si>
  <si>
    <t>Abril</t>
  </si>
  <si>
    <t>Julio</t>
  </si>
  <si>
    <t>Octubre</t>
  </si>
  <si>
    <t>Lu.</t>
  </si>
  <si>
    <t>Ma.</t>
  </si>
  <si>
    <t>Mi.</t>
  </si>
  <si>
    <t>Ju.</t>
  </si>
  <si>
    <t>Vi.</t>
  </si>
  <si>
    <t>Sá.</t>
  </si>
  <si>
    <t>Do.</t>
  </si>
  <si>
    <t>Febrero</t>
  </si>
  <si>
    <t>Mayo</t>
  </si>
  <si>
    <t>Agosto</t>
  </si>
  <si>
    <t>Noviembre</t>
  </si>
  <si>
    <t>Marzo</t>
  </si>
  <si>
    <t>Junio</t>
  </si>
  <si>
    <t>Septiembre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</si>
  <si>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</si>
  <si>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</si>
  <si>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</si>
  <si>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</si>
  <si>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</si>
  <si>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</si>
  <si>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</si>
  <si>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</si>
  <si>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</si>
  <si>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PLATAFORMA ESTRATÉGICA</t>
  </si>
  <si>
    <t>PLAN DE ACCIÓN</t>
  </si>
  <si>
    <t>REGISTRO DE HÁBITOS</t>
  </si>
  <si>
    <t>HÁBITO</t>
  </si>
  <si>
    <t>Establece aquí tu brújula, hacia dónde quieres dirigir tu vida durante este nuevo año.</t>
  </si>
  <si>
    <t>1. Escribe tu misión (está ligada a tu propósito).</t>
  </si>
  <si>
    <t>2. Escribe tu visión de vida.</t>
  </si>
  <si>
    <t>3. Escribe tus valores clave (ejemplo: integridad, verdad, honestidad, disciplina, etc).</t>
  </si>
  <si>
    <t>4. Escribe tus roles (se proponen dos por área, pero puedes personalizarlos).</t>
  </si>
  <si>
    <t>Establece franjas horarias para tus días</t>
  </si>
  <si>
    <t>Establece tu set up diario [La rutina para empezar tu día]</t>
  </si>
  <si>
    <t>Define bloques de actividades</t>
  </si>
  <si>
    <t>Agrupa actividades de la misma naturaleza dentro de los bloques definidos</t>
  </si>
  <si>
    <t>Alinea pilares y roles verificando que tus tareas apuntan a sus objetivos</t>
  </si>
  <si>
    <t>Establece tu closing [Rutina para cerrar tu día y prepararte para el siguiente]</t>
  </si>
  <si>
    <t>Revisa al finalizar el día el cumplimiento de tareas y ajusta</t>
  </si>
  <si>
    <t>Evalúa una vez a la semana tus resultados y ajusta</t>
  </si>
  <si>
    <t>5. Establece tus objetivos para este año. Cada rol debería tener por lo menos un objetivo por trimestre.</t>
  </si>
  <si>
    <t>Tarea planificada</t>
  </si>
  <si>
    <t>Tarea conseguida</t>
  </si>
  <si>
    <t>Planifica aquí las tareas que realizarás para el cumplimiento de tus objetivos, pon el color que corresponda para las semanas que tomará y cámbialo en la medida que los consigas.</t>
  </si>
  <si>
    <t xml:space="preserve">Establece los hábitos nuevos que vas a implementar. </t>
  </si>
  <si>
    <t>Escribe cada día en cada cuadro un 1 cuando lo cumplas y 0 cuando no lo consigas.</t>
  </si>
  <si>
    <t>CÓMO PLANIFICAR TU SEMANA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</si>
</sst>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_-&quot;£&quot;* #,##0.00_-;\-&quot;£&quot;* #,##0.00_-;_-&quot;£&quot;* &quot;-&quot;??_-;_-@_-"/>
    <numFmt numFmtId="167" formatCode="_ * #,##0.00_ ;_ * \-#,##0.00_ ;_ * &quot;-&quot;??_ ;_ @_ "/>
    <numFmt numFmtId="168" formatCode="_ [$€-2]\ * #,##0.00_ ;_ [$€-2]\ * \-#,##0.00_ ;_ [$€-2]\ * &quot;-&quot;??_ "/>
    <numFmt numFmtId="169" formatCode="_-* #,##0.00\ _€_-;\-* #,##0.00\ _€_-;_-* \-??\ _€_-;_-@_-"/>
    <numFmt numFmtId="170" formatCode="_-* #,##0\ _€_-;\-* #,##0\ _€_-;_-* &quot;-&quot;??\ _€_-;_-@_-"/>
    <numFmt numFmtId="171" formatCode="_-* #,##0.00_€_-;\-* #,##0.00_€_-;_-* &quot;-&quot;??_€_-;_-@_-"/>
    <numFmt numFmtId="172" formatCode="d"/>
    <numFmt numFmtId="173" formatCode="h:mm;@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7.7"/>
      <color theme="10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u/>
      <sz val="10"/>
      <color indexed="12"/>
      <name val="Arial"/>
      <family val="2"/>
    </font>
    <font>
      <sz val="10"/>
      <name val="Courier New"/>
      <family val="3"/>
    </font>
    <font>
      <u/>
      <sz val="10"/>
      <color indexed="12"/>
      <name val="Courier New"/>
      <family val="3"/>
    </font>
    <font>
      <u/>
      <sz val="6"/>
      <color theme="10"/>
      <name val="Arial"/>
      <family val="2"/>
    </font>
    <font>
      <u/>
      <sz val="8.25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Verdana"/>
      <family val="2"/>
    </font>
    <font>
      <u/>
      <sz val="11"/>
      <color theme="1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20"/>
      <color rgb="FF232323"/>
      <name val="Arial"/>
      <family val="2"/>
    </font>
    <font>
      <b/>
      <sz val="20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rgb="FF232323"/>
      <name val="Arial"/>
      <family val="2"/>
    </font>
    <font>
      <b/>
      <sz val="10"/>
      <color rgb="FF232323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9"/>
      <color rgb="FF232323"/>
      <name val="Arial"/>
      <family val="2"/>
    </font>
    <font>
      <b/>
      <sz val="14"/>
      <color theme="1"/>
      <name val="Arial"/>
      <family val="2"/>
    </font>
    <font>
      <sz val="40"/>
      <name val="Arial"/>
      <family val="2"/>
    </font>
    <font>
      <b/>
      <sz val="15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8E5DE"/>
        <bgColor indexed="64"/>
      </patternFill>
    </fill>
    <fill>
      <patternFill patternType="solid">
        <fgColor rgb="FFE8E5DE"/>
        <bgColor indexed="41"/>
      </patternFill>
    </fill>
    <fill>
      <patternFill patternType="solid">
        <fgColor rgb="FFA8A39D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indexed="64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medium">
        <color auto="1"/>
      </right>
      <top/>
      <bottom style="hair">
        <color auto="1"/>
      </bottom>
      <diagonal/>
    </border>
  </borders>
  <cellStyleXfs count="10380">
    <xf numFmtId="0" fontId="0" fillId="0" borderId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2" borderId="0" applyNumberFormat="0" applyBorder="0" applyAlignment="0" applyProtection="0"/>
    <xf numFmtId="0" fontId="4" fillId="4" borderId="2" applyNumberFormat="0" applyAlignment="0" applyProtection="0"/>
    <xf numFmtId="0" fontId="10" fillId="0" borderId="3" applyNumberFormat="0" applyFill="0" applyAlignment="0" applyProtection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" fillId="0" borderId="0" applyFill="0" applyBorder="0" applyProtection="0">
      <alignment vertical="top"/>
    </xf>
    <xf numFmtId="0" fontId="11" fillId="0" borderId="0" applyNumberFormat="0" applyFill="0" applyBorder="0" applyAlignment="0" applyProtection="0"/>
    <xf numFmtId="0" fontId="12" fillId="3" borderId="1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3" fillId="5" borderId="0" applyNumberFormat="0" applyBorder="0" applyProtection="0">
      <alignment vertical="top"/>
    </xf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" fillId="6" borderId="4" applyNumberFormat="0" applyFont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" fillId="0" borderId="5" applyNumberFormat="0" applyFill="0" applyProtection="0">
      <alignment vertical="top"/>
    </xf>
    <xf numFmtId="43" fontId="1" fillId="0" borderId="0" applyFont="0" applyFill="0" applyBorder="0" applyAlignment="0" applyProtection="0"/>
    <xf numFmtId="169" fontId="6" fillId="0" borderId="0" applyFill="0" applyBorder="0" applyProtection="0">
      <alignment vertical="top"/>
    </xf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6" fillId="0" borderId="0" applyFill="0" applyBorder="0" applyProtection="0">
      <alignment vertical="top"/>
    </xf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>
      <alignment vertical="top"/>
    </xf>
    <xf numFmtId="169" fontId="6" fillId="0" borderId="0" applyFill="0" applyBorder="0" applyProtection="0">
      <alignment vertical="top"/>
    </xf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>
      <alignment vertical="top"/>
    </xf>
    <xf numFmtId="169" fontId="6" fillId="0" borderId="0" applyFill="0" applyBorder="0" applyProtection="0">
      <alignment vertical="top"/>
    </xf>
    <xf numFmtId="0" fontId="13" fillId="5" borderId="0" applyNumberFormat="0" applyBorder="0" applyProtection="0">
      <alignment vertical="top"/>
    </xf>
    <xf numFmtId="9" fontId="6" fillId="0" borderId="0" applyFill="0" applyBorder="0" applyAlignment="0" applyProtection="0"/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3" fillId="0" borderId="5" applyNumberFormat="0" applyFill="0" applyProtection="0">
      <alignment vertical="top"/>
    </xf>
    <xf numFmtId="0" fontId="3" fillId="0" borderId="5" applyNumberFormat="0" applyFill="0" applyProtection="0">
      <alignment vertical="top"/>
    </xf>
    <xf numFmtId="0" fontId="12" fillId="3" borderId="1" applyNumberFormat="0" applyAlignment="0" applyProtection="0"/>
    <xf numFmtId="0" fontId="2" fillId="6" borderId="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6" fillId="0" borderId="0" applyFill="0" applyBorder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54" applyNumberFormat="0" applyFill="0" applyAlignment="0" applyProtection="0"/>
    <xf numFmtId="0" fontId="21" fillId="0" borderId="0" applyFont="0" applyFill="0" applyBorder="0">
      <alignment horizontal="center"/>
    </xf>
    <xf numFmtId="172" fontId="21" fillId="0" borderId="0" applyFont="0" applyFill="0" applyBorder="0">
      <alignment horizontal="right"/>
    </xf>
  </cellStyleXfs>
  <cellXfs count="214">
    <xf numFmtId="0" fontId="0" fillId="0" borderId="0" xfId="0"/>
    <xf numFmtId="0" fontId="0" fillId="7" borderId="0" xfId="0" applyFill="1" applyBorder="1"/>
    <xf numFmtId="0" fontId="0" fillId="7" borderId="10" xfId="0" applyFont="1" applyFill="1" applyBorder="1" applyAlignment="1">
      <alignment horizontal="left" vertical="top"/>
    </xf>
    <xf numFmtId="0" fontId="0" fillId="7" borderId="39" xfId="0" applyFont="1" applyFill="1" applyBorder="1" applyAlignment="1">
      <alignment horizontal="left" vertical="top"/>
    </xf>
    <xf numFmtId="0" fontId="0" fillId="7" borderId="40" xfId="0" applyFont="1" applyFill="1" applyBorder="1" applyAlignment="1">
      <alignment horizontal="left" vertical="top"/>
    </xf>
    <xf numFmtId="0" fontId="0" fillId="7" borderId="39" xfId="0" applyFont="1" applyFill="1" applyBorder="1" applyAlignment="1">
      <alignment horizontal="center" vertical="top"/>
    </xf>
    <xf numFmtId="0" fontId="24" fillId="7" borderId="39" xfId="0" applyFont="1" applyFill="1" applyBorder="1" applyAlignment="1">
      <alignment horizontal="left" vertical="top"/>
    </xf>
    <xf numFmtId="0" fontId="24" fillId="7" borderId="44" xfId="0" applyFont="1" applyFill="1" applyBorder="1" applyAlignment="1">
      <alignment horizontal="left" vertical="top"/>
    </xf>
    <xf numFmtId="0" fontId="0" fillId="7" borderId="41" xfId="0" applyFont="1" applyFill="1" applyBorder="1" applyAlignment="1">
      <alignment horizontal="left" vertical="top"/>
    </xf>
    <xf numFmtId="0" fontId="24" fillId="7" borderId="38" xfId="0" applyFont="1" applyFill="1" applyBorder="1" applyAlignment="1">
      <alignment horizontal="left" vertical="top"/>
    </xf>
    <xf numFmtId="0" fontId="24" fillId="7" borderId="10" xfId="0" applyFont="1" applyFill="1" applyBorder="1" applyAlignment="1">
      <alignment vertical="top"/>
    </xf>
    <xf numFmtId="0" fontId="0" fillId="7" borderId="10" xfId="0" applyFont="1" applyFill="1" applyBorder="1" applyAlignment="1">
      <alignment vertical="top"/>
    </xf>
    <xf numFmtId="0" fontId="24" fillId="7" borderId="10" xfId="0" applyFont="1" applyFill="1" applyBorder="1" applyAlignment="1">
      <alignment vertical="center"/>
    </xf>
    <xf numFmtId="0" fontId="0" fillId="7" borderId="30" xfId="0" applyFill="1" applyBorder="1" applyAlignment="1" applyProtection="1">
      <protection locked="0"/>
    </xf>
    <xf numFmtId="0" fontId="0" fillId="7" borderId="39" xfId="0" applyFont="1" applyFill="1" applyBorder="1" applyAlignment="1">
      <alignment horizontal="left" vertical="center"/>
    </xf>
    <xf numFmtId="0" fontId="0" fillId="7" borderId="39" xfId="0" applyFont="1" applyFill="1" applyBorder="1" applyAlignment="1">
      <alignment horizontal="center" vertical="center"/>
    </xf>
    <xf numFmtId="0" fontId="24" fillId="7" borderId="45" xfId="0" applyFont="1" applyFill="1" applyBorder="1" applyAlignment="1">
      <alignment horizontal="left" vertical="top"/>
    </xf>
    <xf numFmtId="0" fontId="0" fillId="7" borderId="46" xfId="0" applyFont="1" applyFill="1" applyBorder="1" applyAlignment="1">
      <alignment horizontal="left" vertical="top"/>
    </xf>
    <xf numFmtId="0" fontId="24" fillId="7" borderId="46" xfId="0" applyFont="1" applyFill="1" applyBorder="1" applyAlignment="1">
      <alignment horizontal="left" vertical="top"/>
    </xf>
    <xf numFmtId="0" fontId="0" fillId="7" borderId="47" xfId="0" applyFont="1" applyFill="1" applyBorder="1" applyAlignment="1">
      <alignment horizontal="left" vertical="top"/>
    </xf>
    <xf numFmtId="0" fontId="0" fillId="7" borderId="0" xfId="0" applyFill="1"/>
    <xf numFmtId="0" fontId="0" fillId="7" borderId="46" xfId="0" applyFont="1" applyFill="1" applyBorder="1" applyAlignment="1">
      <alignment horizontal="center" vertical="top"/>
    </xf>
    <xf numFmtId="0" fontId="0" fillId="7" borderId="19" xfId="0" applyFill="1" applyBorder="1"/>
    <xf numFmtId="0" fontId="0" fillId="7" borderId="10" xfId="0" applyFill="1" applyBorder="1"/>
    <xf numFmtId="0" fontId="25" fillId="7" borderId="10" xfId="10375" applyFill="1" applyBorder="1"/>
    <xf numFmtId="0" fontId="0" fillId="7" borderId="29" xfId="0" applyFill="1" applyBorder="1"/>
    <xf numFmtId="0" fontId="0" fillId="7" borderId="30" xfId="0" applyFill="1" applyBorder="1"/>
    <xf numFmtId="0" fontId="20" fillId="7" borderId="19" xfId="0" applyFont="1" applyFill="1" applyBorder="1"/>
    <xf numFmtId="0" fontId="19" fillId="7" borderId="10" xfId="0" applyFont="1" applyFill="1" applyBorder="1" applyAlignment="1">
      <alignment horizontal="left" vertical="top"/>
    </xf>
    <xf numFmtId="0" fontId="25" fillId="7" borderId="10" xfId="10375" applyFill="1" applyBorder="1" applyAlignment="1">
      <alignment horizontal="left" vertical="top"/>
    </xf>
    <xf numFmtId="0" fontId="19" fillId="7" borderId="10" xfId="0" applyFont="1" applyFill="1" applyBorder="1"/>
    <xf numFmtId="0" fontId="20" fillId="10" borderId="13" xfId="0" applyFont="1" applyFill="1" applyBorder="1"/>
    <xf numFmtId="0" fontId="26" fillId="10" borderId="15" xfId="0" applyFont="1" applyFill="1" applyBorder="1" applyAlignment="1">
      <alignment horizontal="left" vertical="center"/>
    </xf>
    <xf numFmtId="0" fontId="26" fillId="7" borderId="10" xfId="0" applyFont="1" applyFill="1" applyBorder="1" applyAlignment="1">
      <alignment horizontal="left" vertical="center"/>
    </xf>
    <xf numFmtId="0" fontId="29" fillId="7" borderId="0" xfId="0" applyFont="1" applyFill="1"/>
    <xf numFmtId="172" fontId="30" fillId="7" borderId="55" xfId="10379" applyFont="1" applyFill="1" applyBorder="1">
      <alignment horizontal="right"/>
    </xf>
    <xf numFmtId="0" fontId="33" fillId="14" borderId="56" xfId="0" applyFont="1" applyFill="1" applyBorder="1" applyAlignment="1" applyProtection="1">
      <alignment horizontal="left" vertical="center" wrapText="1"/>
      <protection locked="0"/>
    </xf>
    <xf numFmtId="164" fontId="33" fillId="7" borderId="56" xfId="10356" applyFont="1" applyFill="1" applyBorder="1" applyAlignment="1" applyProtection="1">
      <alignment horizontal="left" vertical="center" wrapText="1"/>
      <protection locked="0"/>
    </xf>
    <xf numFmtId="0" fontId="34" fillId="14" borderId="62" xfId="0" applyFont="1" applyFill="1" applyBorder="1" applyAlignment="1"/>
    <xf numFmtId="0" fontId="34" fillId="14" borderId="63" xfId="0" applyFont="1" applyFill="1" applyBorder="1" applyAlignment="1"/>
    <xf numFmtId="0" fontId="34" fillId="14" borderId="65" xfId="0" applyFont="1" applyFill="1" applyBorder="1" applyAlignment="1"/>
    <xf numFmtId="0" fontId="34" fillId="14" borderId="64" xfId="0" applyFont="1" applyFill="1" applyBorder="1" applyAlignment="1"/>
    <xf numFmtId="0" fontId="34" fillId="14" borderId="67" xfId="0" applyFont="1" applyFill="1" applyBorder="1" applyAlignment="1"/>
    <xf numFmtId="0" fontId="36" fillId="7" borderId="0" xfId="0" applyFont="1" applyFill="1" applyAlignment="1" applyProtection="1">
      <alignment horizontal="center" vertical="top"/>
      <protection locked="0"/>
    </xf>
    <xf numFmtId="0" fontId="36" fillId="7" borderId="0" xfId="0" applyFont="1" applyFill="1" applyAlignment="1" applyProtection="1">
      <alignment horizontal="center" vertical="center"/>
      <protection locked="0"/>
    </xf>
    <xf numFmtId="0" fontId="36" fillId="7" borderId="0" xfId="0" applyFont="1" applyFill="1" applyAlignment="1" applyProtection="1">
      <alignment horizontal="left" vertical="top"/>
      <protection locked="0"/>
    </xf>
    <xf numFmtId="0" fontId="37" fillId="16" borderId="13" xfId="0" applyFont="1" applyFill="1" applyBorder="1" applyAlignment="1" applyProtection="1">
      <alignment horizontal="center" vertical="top" wrapText="1"/>
      <protection locked="0"/>
    </xf>
    <xf numFmtId="0" fontId="37" fillId="16" borderId="14" xfId="0" applyFont="1" applyFill="1" applyBorder="1" applyAlignment="1" applyProtection="1">
      <alignment horizontal="center" vertical="top" wrapText="1"/>
      <protection locked="0"/>
    </xf>
    <xf numFmtId="0" fontId="37" fillId="16" borderId="15" xfId="0" applyFont="1" applyFill="1" applyBorder="1" applyAlignment="1" applyProtection="1">
      <alignment vertical="top" wrapText="1"/>
      <protection locked="0"/>
    </xf>
    <xf numFmtId="0" fontId="37" fillId="14" borderId="13" xfId="0" applyFont="1" applyFill="1" applyBorder="1" applyAlignment="1" applyProtection="1">
      <alignment horizontal="center" vertical="top" wrapText="1"/>
      <protection locked="0"/>
    </xf>
    <xf numFmtId="0" fontId="37" fillId="14" borderId="14" xfId="0" applyFont="1" applyFill="1" applyBorder="1" applyAlignment="1" applyProtection="1">
      <alignment horizontal="center" vertical="top" wrapText="1"/>
      <protection locked="0"/>
    </xf>
    <xf numFmtId="0" fontId="37" fillId="14" borderId="15" xfId="0" applyFont="1" applyFill="1" applyBorder="1" applyAlignment="1" applyProtection="1">
      <alignment vertical="top" wrapText="1"/>
      <protection locked="0"/>
    </xf>
    <xf numFmtId="0" fontId="36" fillId="7" borderId="0" xfId="0" applyFont="1" applyFill="1" applyAlignment="1" applyProtection="1">
      <alignment horizontal="center" vertical="top" wrapText="1"/>
      <protection locked="0"/>
    </xf>
    <xf numFmtId="170" fontId="36" fillId="7" borderId="72" xfId="10356" applyNumberFormat="1" applyFont="1" applyFill="1" applyBorder="1" applyProtection="1">
      <protection locked="0"/>
    </xf>
    <xf numFmtId="0" fontId="36" fillId="7" borderId="10" xfId="0" applyFont="1" applyFill="1" applyBorder="1" applyAlignment="1" applyProtection="1">
      <alignment horizontal="left" vertical="top" wrapText="1"/>
      <protection locked="0"/>
    </xf>
    <xf numFmtId="0" fontId="37" fillId="16" borderId="16" xfId="0" applyFont="1" applyFill="1" applyBorder="1" applyAlignment="1" applyProtection="1">
      <alignment horizontal="center" vertical="center" wrapText="1"/>
      <protection locked="0"/>
    </xf>
    <xf numFmtId="0" fontId="37" fillId="16" borderId="17" xfId="0" applyFont="1" applyFill="1" applyBorder="1" applyAlignment="1" applyProtection="1">
      <alignment horizontal="center" vertical="center" wrapText="1"/>
      <protection locked="0"/>
    </xf>
    <xf numFmtId="0" fontId="37" fillId="16" borderId="48" xfId="0" applyFont="1" applyFill="1" applyBorder="1" applyAlignment="1" applyProtection="1">
      <alignment horizontal="center" vertical="center" wrapText="1"/>
      <protection locked="0"/>
    </xf>
    <xf numFmtId="0" fontId="37" fillId="16" borderId="51" xfId="0" applyFont="1" applyFill="1" applyBorder="1" applyAlignment="1" applyProtection="1">
      <alignment horizontal="center" vertical="center" wrapText="1"/>
      <protection locked="0"/>
    </xf>
    <xf numFmtId="0" fontId="37" fillId="16" borderId="18" xfId="0" applyFont="1" applyFill="1" applyBorder="1" applyAlignment="1" applyProtection="1">
      <alignment horizontal="center" vertical="center" wrapText="1"/>
      <protection locked="0"/>
    </xf>
    <xf numFmtId="0" fontId="37" fillId="14" borderId="16" xfId="0" applyFont="1" applyFill="1" applyBorder="1" applyAlignment="1" applyProtection="1">
      <alignment horizontal="center" vertical="center" wrapText="1"/>
      <protection locked="0"/>
    </xf>
    <xf numFmtId="0" fontId="37" fillId="14" borderId="17" xfId="0" applyFont="1" applyFill="1" applyBorder="1" applyAlignment="1" applyProtection="1">
      <alignment horizontal="center" vertical="center" wrapText="1"/>
      <protection locked="0"/>
    </xf>
    <xf numFmtId="0" fontId="37" fillId="14" borderId="48" xfId="0" applyFont="1" applyFill="1" applyBorder="1" applyAlignment="1" applyProtection="1">
      <alignment horizontal="center" vertical="center" wrapText="1"/>
      <protection locked="0"/>
    </xf>
    <xf numFmtId="0" fontId="37" fillId="14" borderId="51" xfId="0" applyFont="1" applyFill="1" applyBorder="1" applyAlignment="1" applyProtection="1">
      <alignment horizontal="center" vertical="center" wrapText="1"/>
      <protection locked="0"/>
    </xf>
    <xf numFmtId="0" fontId="37" fillId="14" borderId="18" xfId="0" applyFont="1" applyFill="1" applyBorder="1" applyAlignment="1" applyProtection="1">
      <alignment horizontal="center" vertical="center" wrapText="1"/>
      <protection locked="0"/>
    </xf>
    <xf numFmtId="170" fontId="36" fillId="7" borderId="28" xfId="10356" applyNumberFormat="1" applyFont="1" applyFill="1" applyBorder="1" applyProtection="1">
      <protection locked="0"/>
    </xf>
    <xf numFmtId="0" fontId="37" fillId="16" borderId="23" xfId="0" applyFont="1" applyFill="1" applyBorder="1" applyAlignment="1" applyProtection="1">
      <alignment horizontal="center" vertical="center" wrapText="1"/>
      <protection locked="0"/>
    </xf>
    <xf numFmtId="0" fontId="37" fillId="16" borderId="24" xfId="0" applyFont="1" applyFill="1" applyBorder="1" applyAlignment="1" applyProtection="1">
      <alignment horizontal="center" vertical="center" wrapText="1"/>
      <protection locked="0"/>
    </xf>
    <xf numFmtId="0" fontId="37" fillId="16" borderId="49" xfId="0" applyFont="1" applyFill="1" applyBorder="1" applyAlignment="1" applyProtection="1">
      <alignment horizontal="center" vertical="center" wrapText="1"/>
      <protection locked="0"/>
    </xf>
    <xf numFmtId="0" fontId="37" fillId="16" borderId="52" xfId="0" applyFont="1" applyFill="1" applyBorder="1" applyAlignment="1" applyProtection="1">
      <alignment horizontal="center" vertical="center" wrapText="1"/>
      <protection locked="0"/>
    </xf>
    <xf numFmtId="0" fontId="37" fillId="16" borderId="25" xfId="0" applyFont="1" applyFill="1" applyBorder="1" applyAlignment="1" applyProtection="1">
      <alignment horizontal="center" vertical="center" wrapText="1"/>
      <protection locked="0"/>
    </xf>
    <xf numFmtId="0" fontId="37" fillId="14" borderId="23" xfId="0" applyFont="1" applyFill="1" applyBorder="1" applyAlignment="1" applyProtection="1">
      <alignment horizontal="center" vertical="center" wrapText="1"/>
      <protection locked="0"/>
    </xf>
    <xf numFmtId="0" fontId="37" fillId="14" borderId="24" xfId="0" applyFont="1" applyFill="1" applyBorder="1" applyAlignment="1" applyProtection="1">
      <alignment horizontal="center" vertical="center" wrapText="1"/>
      <protection locked="0"/>
    </xf>
    <xf numFmtId="0" fontId="37" fillId="14" borderId="49" xfId="0" applyFont="1" applyFill="1" applyBorder="1" applyAlignment="1" applyProtection="1">
      <alignment horizontal="center" vertical="center" wrapText="1"/>
      <protection locked="0"/>
    </xf>
    <xf numFmtId="0" fontId="37" fillId="14" borderId="52" xfId="0" applyFont="1" applyFill="1" applyBorder="1" applyAlignment="1" applyProtection="1">
      <alignment horizontal="center" vertical="center" wrapText="1"/>
      <protection locked="0"/>
    </xf>
    <xf numFmtId="0" fontId="37" fillId="14" borderId="25" xfId="0" applyFont="1" applyFill="1" applyBorder="1" applyAlignment="1" applyProtection="1">
      <alignment horizontal="center" vertical="center" wrapText="1"/>
      <protection locked="0"/>
    </xf>
    <xf numFmtId="0" fontId="36" fillId="7" borderId="10" xfId="0" applyFont="1" applyFill="1" applyBorder="1" applyAlignment="1" applyProtection="1">
      <alignment horizontal="left" vertical="top"/>
      <protection locked="0"/>
    </xf>
    <xf numFmtId="173" fontId="37" fillId="11" borderId="28" xfId="10356" applyNumberFormat="1" applyFont="1" applyFill="1" applyBorder="1" applyAlignment="1" applyProtection="1">
      <alignment vertical="center" wrapText="1"/>
      <protection locked="0"/>
    </xf>
    <xf numFmtId="0" fontId="36" fillId="7" borderId="20" xfId="0" applyFont="1" applyFill="1" applyBorder="1" applyAlignment="1" applyProtection="1">
      <alignment horizontal="center" vertical="top"/>
      <protection locked="0"/>
    </xf>
    <xf numFmtId="0" fontId="36" fillId="7" borderId="21" xfId="0" applyFont="1" applyFill="1" applyBorder="1" applyAlignment="1" applyProtection="1">
      <alignment horizontal="center" vertical="top"/>
      <protection locked="0"/>
    </xf>
    <xf numFmtId="164" fontId="36" fillId="9" borderId="21" xfId="0" applyNumberFormat="1" applyFont="1" applyFill="1" applyBorder="1" applyAlignment="1" applyProtection="1">
      <alignment horizontal="center" vertical="top"/>
      <protection locked="0"/>
    </xf>
    <xf numFmtId="164" fontId="36" fillId="9" borderId="50" xfId="0" applyNumberFormat="1" applyFont="1" applyFill="1" applyBorder="1" applyAlignment="1" applyProtection="1">
      <alignment horizontal="left" vertical="top"/>
      <protection locked="0"/>
    </xf>
    <xf numFmtId="0" fontId="36" fillId="7" borderId="53" xfId="0" applyFont="1" applyFill="1" applyBorder="1" applyAlignment="1" applyProtection="1">
      <alignment horizontal="center" vertical="top"/>
      <protection locked="0"/>
    </xf>
    <xf numFmtId="0" fontId="36" fillId="7" borderId="22" xfId="0" applyFont="1" applyFill="1" applyBorder="1" applyAlignment="1" applyProtection="1">
      <alignment horizontal="center" vertical="top"/>
      <protection locked="0"/>
    </xf>
    <xf numFmtId="170" fontId="36" fillId="7" borderId="9" xfId="10356" applyNumberFormat="1" applyFont="1" applyFill="1" applyBorder="1" applyProtection="1">
      <protection locked="0"/>
    </xf>
    <xf numFmtId="0" fontId="36" fillId="7" borderId="30" xfId="0" applyFont="1" applyFill="1" applyBorder="1" applyAlignment="1" applyProtection="1">
      <alignment horizontal="left" vertical="top"/>
      <protection locked="0"/>
    </xf>
    <xf numFmtId="173" fontId="37" fillId="11" borderId="9" xfId="10356" applyNumberFormat="1" applyFont="1" applyFill="1" applyBorder="1" applyAlignment="1" applyProtection="1">
      <alignment vertical="center" wrapText="1"/>
      <protection locked="0"/>
    </xf>
    <xf numFmtId="0" fontId="36" fillId="7" borderId="23" xfId="0" applyFont="1" applyFill="1" applyBorder="1" applyAlignment="1" applyProtection="1">
      <alignment horizontal="center" vertical="top"/>
      <protection locked="0"/>
    </xf>
    <xf numFmtId="0" fontId="36" fillId="7" borderId="24" xfId="0" applyFont="1" applyFill="1" applyBorder="1" applyAlignment="1" applyProtection="1">
      <alignment horizontal="center" vertical="top"/>
      <protection locked="0"/>
    </xf>
    <xf numFmtId="164" fontId="36" fillId="9" borderId="24" xfId="0" applyNumberFormat="1" applyFont="1" applyFill="1" applyBorder="1" applyAlignment="1" applyProtection="1">
      <alignment horizontal="center" vertical="top"/>
      <protection locked="0"/>
    </xf>
    <xf numFmtId="164" fontId="36" fillId="9" borderId="49" xfId="0" applyNumberFormat="1" applyFont="1" applyFill="1" applyBorder="1" applyAlignment="1" applyProtection="1">
      <alignment horizontal="left" vertical="top"/>
      <protection locked="0"/>
    </xf>
    <xf numFmtId="0" fontId="36" fillId="7" borderId="52" xfId="0" applyFont="1" applyFill="1" applyBorder="1" applyAlignment="1" applyProtection="1">
      <alignment horizontal="center" vertical="top"/>
      <protection locked="0"/>
    </xf>
    <xf numFmtId="0" fontId="36" fillId="7" borderId="25" xfId="0" applyFont="1" applyFill="1" applyBorder="1" applyAlignment="1" applyProtection="1">
      <alignment horizontal="center" vertical="top"/>
      <protection locked="0"/>
    </xf>
    <xf numFmtId="0" fontId="37" fillId="7" borderId="0" xfId="0" applyFont="1" applyFill="1" applyBorder="1" applyProtection="1">
      <protection locked="0"/>
    </xf>
    <xf numFmtId="0" fontId="36" fillId="7" borderId="0" xfId="0" applyFont="1" applyFill="1" applyBorder="1" applyProtection="1">
      <protection locked="0"/>
    </xf>
    <xf numFmtId="170" fontId="36" fillId="7" borderId="0" xfId="10356" applyNumberFormat="1" applyFont="1" applyFill="1" applyAlignment="1" applyProtection="1">
      <alignment horizontal="center" vertical="center" wrapText="1"/>
      <protection locked="0"/>
    </xf>
    <xf numFmtId="0" fontId="36" fillId="7" borderId="0" xfId="0" applyFont="1" applyFill="1"/>
    <xf numFmtId="0" fontId="37" fillId="7" borderId="0" xfId="0" applyFont="1" applyFill="1" applyAlignment="1">
      <alignment horizontal="center"/>
    </xf>
    <xf numFmtId="0" fontId="36" fillId="7" borderId="0" xfId="0" applyFont="1" applyFill="1" applyAlignment="1">
      <alignment horizontal="left" vertical="top"/>
    </xf>
    <xf numFmtId="0" fontId="37" fillId="14" borderId="8" xfId="0" applyFont="1" applyFill="1" applyBorder="1" applyAlignment="1" applyProtection="1">
      <alignment horizontal="center" vertical="center" wrapText="1"/>
      <protection locked="0"/>
    </xf>
    <xf numFmtId="0" fontId="37" fillId="14" borderId="56" xfId="0" applyFont="1" applyFill="1" applyBorder="1" applyAlignment="1" applyProtection="1">
      <alignment horizontal="center" vertical="center" wrapText="1"/>
      <protection locked="0"/>
    </xf>
    <xf numFmtId="0" fontId="37" fillId="14" borderId="6" xfId="0" applyFont="1" applyFill="1" applyBorder="1" applyAlignment="1" applyProtection="1">
      <alignment horizontal="center" vertical="center" wrapText="1"/>
      <protection locked="0"/>
    </xf>
    <xf numFmtId="0" fontId="37" fillId="14" borderId="26" xfId="0" applyFont="1" applyFill="1" applyBorder="1" applyAlignment="1" applyProtection="1">
      <alignment horizontal="center" vertical="center" wrapText="1"/>
      <protection locked="0"/>
    </xf>
    <xf numFmtId="164" fontId="37" fillId="14" borderId="6" xfId="10356" applyFont="1" applyFill="1" applyBorder="1" applyAlignment="1" applyProtection="1">
      <alignment horizontal="center" vertical="center" wrapText="1"/>
      <protection locked="0"/>
    </xf>
    <xf numFmtId="164" fontId="37" fillId="7" borderId="15" xfId="10356" applyFont="1" applyFill="1" applyBorder="1" applyAlignment="1" applyProtection="1">
      <alignment horizontal="center" vertical="center" wrapText="1"/>
      <protection locked="0"/>
    </xf>
    <xf numFmtId="164" fontId="36" fillId="7" borderId="31" xfId="10356" applyFont="1" applyFill="1" applyBorder="1" applyAlignment="1" applyProtection="1">
      <alignment horizontal="left" vertical="top"/>
      <protection locked="0"/>
    </xf>
    <xf numFmtId="164" fontId="36" fillId="7" borderId="84" xfId="10356" applyFont="1" applyFill="1" applyBorder="1" applyAlignment="1" applyProtection="1">
      <alignment horizontal="left" vertical="top"/>
      <protection locked="0"/>
    </xf>
    <xf numFmtId="164" fontId="36" fillId="7" borderId="32" xfId="10356" applyFont="1" applyFill="1" applyBorder="1" applyAlignment="1" applyProtection="1">
      <alignment horizontal="left" vertical="top"/>
      <protection locked="0"/>
    </xf>
    <xf numFmtId="164" fontId="36" fillId="7" borderId="57" xfId="10356" applyFont="1" applyFill="1" applyBorder="1" applyAlignment="1" applyProtection="1">
      <alignment horizontal="left" vertical="top"/>
      <protection locked="0"/>
    </xf>
    <xf numFmtId="164" fontId="36" fillId="7" borderId="33" xfId="10356" applyFont="1" applyFill="1" applyBorder="1" applyAlignment="1" applyProtection="1">
      <alignment vertical="top"/>
      <protection locked="0"/>
    </xf>
    <xf numFmtId="164" fontId="36" fillId="7" borderId="31" xfId="10356" applyFont="1" applyFill="1" applyBorder="1" applyAlignment="1" applyProtection="1">
      <alignment vertical="top"/>
      <protection locked="0"/>
    </xf>
    <xf numFmtId="164" fontId="36" fillId="7" borderId="84" xfId="10356" applyFont="1" applyFill="1" applyBorder="1" applyAlignment="1" applyProtection="1">
      <alignment vertical="top"/>
      <protection locked="0"/>
    </xf>
    <xf numFmtId="164" fontId="36" fillId="7" borderId="32" xfId="10356" applyFont="1" applyFill="1" applyBorder="1" applyAlignment="1" applyProtection="1">
      <alignment vertical="top"/>
      <protection locked="0"/>
    </xf>
    <xf numFmtId="164" fontId="36" fillId="7" borderId="31" xfId="10356" applyFont="1" applyFill="1" applyBorder="1" applyAlignment="1" applyProtection="1">
      <alignment horizontal="center" vertical="top"/>
      <protection locked="0"/>
    </xf>
    <xf numFmtId="164" fontId="36" fillId="7" borderId="84" xfId="10356" applyFont="1" applyFill="1" applyBorder="1" applyAlignment="1" applyProtection="1">
      <alignment horizontal="center" vertical="top"/>
      <protection locked="0"/>
    </xf>
    <xf numFmtId="164" fontId="36" fillId="7" borderId="32" xfId="10356" applyFont="1" applyFill="1" applyBorder="1" applyAlignment="1" applyProtection="1">
      <alignment horizontal="center" vertical="top"/>
      <protection locked="0"/>
    </xf>
    <xf numFmtId="164" fontId="36" fillId="7" borderId="33" xfId="10356" applyFont="1" applyFill="1" applyBorder="1" applyAlignment="1" applyProtection="1">
      <alignment horizontal="left" vertical="top"/>
      <protection locked="0"/>
    </xf>
    <xf numFmtId="164" fontId="36" fillId="7" borderId="33" xfId="10356" applyFont="1" applyFill="1" applyBorder="1" applyAlignment="1" applyProtection="1">
      <alignment horizontal="left" vertical="center" wrapText="1"/>
      <protection locked="0"/>
    </xf>
    <xf numFmtId="0" fontId="33" fillId="7" borderId="56" xfId="0" applyFont="1" applyFill="1" applyBorder="1" applyAlignment="1" applyProtection="1">
      <alignment horizontal="left" vertical="center" wrapText="1"/>
      <protection locked="0"/>
    </xf>
    <xf numFmtId="0" fontId="38" fillId="7" borderId="0" xfId="0" applyFont="1" applyFill="1" applyBorder="1" applyAlignment="1">
      <alignment horizontal="center"/>
    </xf>
    <xf numFmtId="0" fontId="34" fillId="7" borderId="0" xfId="0" applyFont="1" applyFill="1"/>
    <xf numFmtId="0" fontId="34" fillId="7" borderId="0" xfId="0" applyFont="1" applyFill="1" applyBorder="1"/>
    <xf numFmtId="0" fontId="34" fillId="7" borderId="0" xfId="0" applyFont="1" applyFill="1" applyBorder="1" applyAlignment="1">
      <alignment horizontal="center"/>
    </xf>
    <xf numFmtId="0" fontId="34" fillId="7" borderId="62" xfId="0" applyFont="1" applyFill="1" applyBorder="1" applyAlignment="1"/>
    <xf numFmtId="0" fontId="34" fillId="7" borderId="63" xfId="0" applyFont="1" applyFill="1" applyBorder="1" applyAlignment="1"/>
    <xf numFmtId="0" fontId="34" fillId="7" borderId="65" xfId="0" applyFont="1" applyFill="1" applyBorder="1" applyAlignment="1"/>
    <xf numFmtId="0" fontId="34" fillId="7" borderId="64" xfId="0" applyFont="1" applyFill="1" applyBorder="1" applyAlignment="1"/>
    <xf numFmtId="0" fontId="34" fillId="7" borderId="67" xfId="0" applyFont="1" applyFill="1" applyBorder="1" applyAlignment="1"/>
    <xf numFmtId="164" fontId="39" fillId="7" borderId="11" xfId="10356" applyFont="1" applyFill="1" applyBorder="1" applyAlignment="1" applyProtection="1">
      <alignment horizontal="left" vertical="center" wrapText="1"/>
      <protection locked="0"/>
    </xf>
    <xf numFmtId="0" fontId="34" fillId="7" borderId="79" xfId="0" applyFont="1" applyFill="1" applyBorder="1" applyAlignment="1"/>
    <xf numFmtId="0" fontId="34" fillId="7" borderId="80" xfId="0" applyFont="1" applyFill="1" applyBorder="1" applyAlignment="1"/>
    <xf numFmtId="0" fontId="34" fillId="7" borderId="81" xfId="0" applyFont="1" applyFill="1" applyBorder="1" applyAlignment="1"/>
    <xf numFmtId="0" fontId="34" fillId="7" borderId="82" xfId="0" applyFont="1" applyFill="1" applyBorder="1" applyAlignment="1"/>
    <xf numFmtId="0" fontId="34" fillId="7" borderId="83" xfId="0" applyFont="1" applyFill="1" applyBorder="1" applyAlignment="1"/>
    <xf numFmtId="164" fontId="39" fillId="7" borderId="28" xfId="10356" applyFont="1" applyFill="1" applyBorder="1" applyAlignment="1" applyProtection="1">
      <alignment horizontal="left" vertical="top"/>
      <protection locked="0"/>
    </xf>
    <xf numFmtId="0" fontId="34" fillId="7" borderId="20" xfId="0" applyFont="1" applyFill="1" applyBorder="1" applyAlignment="1"/>
    <xf numFmtId="0" fontId="34" fillId="7" borderId="21" xfId="0" applyFont="1" applyFill="1" applyBorder="1" applyAlignment="1"/>
    <xf numFmtId="0" fontId="34" fillId="7" borderId="50" xfId="0" applyFont="1" applyFill="1" applyBorder="1" applyAlignment="1"/>
    <xf numFmtId="0" fontId="34" fillId="7" borderId="22" xfId="0" applyFont="1" applyFill="1" applyBorder="1" applyAlignment="1"/>
    <xf numFmtId="0" fontId="34" fillId="7" borderId="69" xfId="0" applyFont="1" applyFill="1" applyBorder="1" applyAlignment="1"/>
    <xf numFmtId="164" fontId="39" fillId="7" borderId="73" xfId="10356" applyFont="1" applyFill="1" applyBorder="1" applyAlignment="1" applyProtection="1">
      <alignment horizontal="left" vertical="top"/>
      <protection locked="0"/>
    </xf>
    <xf numFmtId="0" fontId="34" fillId="7" borderId="74" xfId="0" applyFont="1" applyFill="1" applyBorder="1" applyAlignment="1"/>
    <xf numFmtId="0" fontId="34" fillId="7" borderId="75" xfId="0" applyFont="1" applyFill="1" applyBorder="1" applyAlignment="1"/>
    <xf numFmtId="0" fontId="34" fillId="7" borderId="76" xfId="0" applyFont="1" applyFill="1" applyBorder="1" applyAlignment="1"/>
    <xf numFmtId="0" fontId="34" fillId="7" borderId="77" xfId="0" applyFont="1" applyFill="1" applyBorder="1" applyAlignment="1"/>
    <xf numFmtId="0" fontId="34" fillId="7" borderId="78" xfId="0" applyFont="1" applyFill="1" applyBorder="1" applyAlignment="1"/>
    <xf numFmtId="164" fontId="39" fillId="7" borderId="72" xfId="10356" applyFont="1" applyFill="1" applyBorder="1" applyAlignment="1" applyProtection="1">
      <alignment horizontal="left" vertical="top"/>
      <protection locked="0"/>
    </xf>
    <xf numFmtId="0" fontId="34" fillId="7" borderId="59" xfId="0" applyFont="1" applyFill="1" applyBorder="1" applyAlignment="1"/>
    <xf numFmtId="0" fontId="34" fillId="7" borderId="60" xfId="0" applyFont="1" applyFill="1" applyBorder="1" applyAlignment="1"/>
    <xf numFmtId="0" fontId="34" fillId="7" borderId="66" xfId="0" applyFont="1" applyFill="1" applyBorder="1" applyAlignment="1"/>
    <xf numFmtId="0" fontId="34" fillId="7" borderId="61" xfId="0" applyFont="1" applyFill="1" applyBorder="1" applyAlignment="1"/>
    <xf numFmtId="0" fontId="34" fillId="7" borderId="68" xfId="0" applyFont="1" applyFill="1" applyBorder="1" applyAlignment="1"/>
    <xf numFmtId="164" fontId="39" fillId="7" borderId="9" xfId="10356" applyFont="1" applyFill="1" applyBorder="1" applyAlignment="1" applyProtection="1">
      <alignment horizontal="left" vertical="top"/>
      <protection locked="0"/>
    </xf>
    <xf numFmtId="0" fontId="34" fillId="7" borderId="23" xfId="0" applyFont="1" applyFill="1" applyBorder="1" applyAlignment="1"/>
    <xf numFmtId="0" fontId="34" fillId="7" borderId="24" xfId="0" applyFont="1" applyFill="1" applyBorder="1" applyAlignment="1"/>
    <xf numFmtId="0" fontId="34" fillId="7" borderId="49" xfId="0" applyFont="1" applyFill="1" applyBorder="1" applyAlignment="1"/>
    <xf numFmtId="0" fontId="34" fillId="7" borderId="25" xfId="0" applyFont="1" applyFill="1" applyBorder="1" applyAlignment="1"/>
    <xf numFmtId="0" fontId="34" fillId="7" borderId="70" xfId="0" applyFont="1" applyFill="1" applyBorder="1" applyAlignment="1"/>
    <xf numFmtId="164" fontId="39" fillId="7" borderId="9" xfId="10356" applyFont="1" applyFill="1" applyBorder="1" applyAlignment="1" applyProtection="1">
      <alignment horizontal="left" vertical="center" wrapText="1"/>
      <protection locked="0"/>
    </xf>
    <xf numFmtId="164" fontId="39" fillId="7" borderId="73" xfId="10356" applyFont="1" applyFill="1" applyBorder="1" applyAlignment="1" applyProtection="1">
      <alignment horizontal="left" vertical="center" wrapText="1"/>
      <protection locked="0"/>
    </xf>
    <xf numFmtId="164" fontId="39" fillId="7" borderId="6" xfId="10356" applyFont="1" applyFill="1" applyBorder="1" applyAlignment="1" applyProtection="1">
      <alignment horizontal="left" vertical="top"/>
      <protection locked="0"/>
    </xf>
    <xf numFmtId="0" fontId="34" fillId="7" borderId="16" xfId="0" applyFont="1" applyFill="1" applyBorder="1" applyAlignment="1"/>
    <xf numFmtId="0" fontId="34" fillId="7" borderId="17" xfId="0" applyFont="1" applyFill="1" applyBorder="1" applyAlignment="1"/>
    <xf numFmtId="0" fontId="34" fillId="7" borderId="48" xfId="0" applyFont="1" applyFill="1" applyBorder="1" applyAlignment="1"/>
    <xf numFmtId="0" fontId="34" fillId="7" borderId="18" xfId="0" applyFont="1" applyFill="1" applyBorder="1" applyAlignment="1"/>
    <xf numFmtId="0" fontId="34" fillId="7" borderId="71" xfId="0" applyFont="1" applyFill="1" applyBorder="1" applyAlignment="1"/>
    <xf numFmtId="0" fontId="38" fillId="12" borderId="0" xfId="0" applyFont="1" applyFill="1" applyBorder="1" applyAlignment="1">
      <alignment horizontal="center"/>
    </xf>
    <xf numFmtId="0" fontId="40" fillId="13" borderId="0" xfId="0" applyFont="1" applyFill="1" applyBorder="1" applyAlignment="1">
      <alignment horizontal="center"/>
    </xf>
    <xf numFmtId="0" fontId="38" fillId="7" borderId="0" xfId="0" applyFont="1" applyFill="1" applyBorder="1" applyAlignment="1">
      <alignment horizontal="left"/>
    </xf>
    <xf numFmtId="0" fontId="41" fillId="7" borderId="0" xfId="0" applyFont="1" applyFill="1"/>
    <xf numFmtId="0" fontId="29" fillId="7" borderId="58" xfId="0" applyFont="1" applyFill="1" applyBorder="1"/>
    <xf numFmtId="0" fontId="29" fillId="7" borderId="55" xfId="0" applyFont="1" applyFill="1" applyBorder="1"/>
    <xf numFmtId="0" fontId="35" fillId="7" borderId="0" xfId="0" applyFont="1" applyFill="1" applyAlignment="1">
      <alignment horizontal="left"/>
    </xf>
    <xf numFmtId="0" fontId="30" fillId="7" borderId="0" xfId="0" applyFont="1" applyFill="1"/>
    <xf numFmtId="0" fontId="30" fillId="7" borderId="55" xfId="10378" applyFont="1" applyFill="1" applyBorder="1">
      <alignment horizontal="center"/>
    </xf>
    <xf numFmtId="0" fontId="37" fillId="7" borderId="0" xfId="0" applyFont="1" applyFill="1" applyAlignment="1" applyProtection="1">
      <alignment horizontal="left" vertical="top"/>
      <protection locked="0"/>
    </xf>
    <xf numFmtId="0" fontId="43" fillId="7" borderId="54" xfId="10377" applyFont="1" applyFill="1" applyAlignment="1">
      <alignment horizontal="center" vertical="center"/>
    </xf>
    <xf numFmtId="1" fontId="42" fillId="7" borderId="0" xfId="10376" applyNumberFormat="1" applyFont="1" applyFill="1" applyAlignment="1">
      <alignment horizontal="center" vertical="center"/>
    </xf>
    <xf numFmtId="0" fontId="31" fillId="7" borderId="0" xfId="0" applyFont="1" applyFill="1" applyAlignment="1">
      <alignment horizontal="center"/>
    </xf>
    <xf numFmtId="0" fontId="36" fillId="7" borderId="8" xfId="0" applyFont="1" applyFill="1" applyBorder="1" applyAlignment="1" applyProtection="1">
      <alignment horizontal="center" vertical="top"/>
      <protection locked="0"/>
    </xf>
    <xf numFmtId="0" fontId="36" fillId="7" borderId="11" xfId="0" applyFont="1" applyFill="1" applyBorder="1" applyAlignment="1" applyProtection="1">
      <alignment horizontal="center" vertical="top"/>
      <protection locked="0"/>
    </xf>
    <xf numFmtId="0" fontId="36" fillId="7" borderId="12" xfId="0" applyFont="1" applyFill="1" applyBorder="1" applyAlignment="1" applyProtection="1">
      <alignment horizontal="center" vertical="top"/>
      <protection locked="0"/>
    </xf>
    <xf numFmtId="164" fontId="36" fillId="7" borderId="10" xfId="10356" applyFont="1" applyFill="1" applyBorder="1" applyAlignment="1" applyProtection="1">
      <alignment horizontal="center" vertical="center" wrapText="1"/>
      <protection locked="0"/>
    </xf>
    <xf numFmtId="164" fontId="36" fillId="7" borderId="30" xfId="10356" applyFont="1" applyFill="1" applyBorder="1" applyAlignment="1" applyProtection="1">
      <alignment horizontal="center" vertical="center" wrapText="1"/>
      <protection locked="0"/>
    </xf>
    <xf numFmtId="164" fontId="36" fillId="7" borderId="31" xfId="10356" applyFont="1" applyFill="1" applyBorder="1" applyAlignment="1" applyProtection="1">
      <alignment horizontal="center" vertical="center" wrapText="1"/>
      <protection locked="0"/>
    </xf>
    <xf numFmtId="164" fontId="36" fillId="7" borderId="84" xfId="10356" applyFont="1" applyFill="1" applyBorder="1" applyAlignment="1" applyProtection="1">
      <alignment horizontal="center" vertical="center" wrapText="1"/>
      <protection locked="0"/>
    </xf>
    <xf numFmtId="164" fontId="36" fillId="7" borderId="32" xfId="10356" applyFont="1" applyFill="1" applyBorder="1" applyAlignment="1" applyProtection="1">
      <alignment horizontal="center" vertical="center" wrapText="1"/>
      <protection locked="0"/>
    </xf>
    <xf numFmtId="164" fontId="36" fillId="7" borderId="33" xfId="10356" applyFont="1" applyFill="1" applyBorder="1" applyAlignment="1" applyProtection="1">
      <alignment horizontal="center" vertical="center" wrapText="1"/>
      <protection locked="0"/>
    </xf>
    <xf numFmtId="164" fontId="36" fillId="7" borderId="7" xfId="10356" applyFont="1" applyFill="1" applyBorder="1" applyAlignment="1" applyProtection="1">
      <alignment horizontal="center" vertical="center" wrapText="1"/>
      <protection locked="0"/>
    </xf>
    <xf numFmtId="0" fontId="36" fillId="7" borderId="8" xfId="0" applyFont="1" applyFill="1" applyBorder="1" applyAlignment="1" applyProtection="1">
      <alignment horizontal="center" vertical="center" wrapText="1"/>
      <protection locked="0"/>
    </xf>
    <xf numFmtId="0" fontId="36" fillId="7" borderId="11" xfId="0" applyFont="1" applyFill="1" applyBorder="1" applyAlignment="1" applyProtection="1">
      <alignment horizontal="center" vertical="center" wrapText="1"/>
      <protection locked="0"/>
    </xf>
    <xf numFmtId="0" fontId="36" fillId="7" borderId="12" xfId="0" applyFont="1" applyFill="1" applyBorder="1" applyAlignment="1" applyProtection="1">
      <alignment horizontal="center" vertical="center" wrapText="1"/>
      <protection locked="0"/>
    </xf>
    <xf numFmtId="0" fontId="32" fillId="7" borderId="0" xfId="0" applyFont="1" applyFill="1" applyAlignment="1">
      <alignment horizontal="center"/>
    </xf>
    <xf numFmtId="0" fontId="38" fillId="7" borderId="0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/>
    </xf>
    <xf numFmtId="0" fontId="34" fillId="7" borderId="65" xfId="0" applyFont="1" applyFill="1" applyBorder="1" applyAlignment="1">
      <alignment horizontal="center"/>
    </xf>
    <xf numFmtId="0" fontId="34" fillId="7" borderId="62" xfId="0" applyFont="1" applyFill="1" applyBorder="1" applyAlignment="1">
      <alignment horizontal="center"/>
    </xf>
    <xf numFmtId="0" fontId="34" fillId="7" borderId="64" xfId="0" applyFont="1" applyFill="1" applyBorder="1" applyAlignment="1">
      <alignment horizontal="center"/>
    </xf>
    <xf numFmtId="0" fontId="37" fillId="14" borderId="13" xfId="0" applyFont="1" applyFill="1" applyBorder="1" applyAlignment="1" applyProtection="1">
      <alignment horizontal="center" vertical="center" wrapText="1"/>
      <protection locked="0"/>
    </xf>
    <xf numFmtId="0" fontId="37" fillId="14" borderId="15" xfId="0" applyFont="1" applyFill="1" applyBorder="1" applyAlignment="1" applyProtection="1">
      <alignment horizontal="center" vertical="center" wrapText="1"/>
      <protection locked="0"/>
    </xf>
    <xf numFmtId="170" fontId="37" fillId="15" borderId="8" xfId="10356" applyNumberFormat="1" applyFont="1" applyFill="1" applyBorder="1" applyAlignment="1" applyProtection="1">
      <alignment horizontal="center" vertical="center" wrapText="1"/>
      <protection locked="0"/>
    </xf>
    <xf numFmtId="170" fontId="37" fillId="15" borderId="11" xfId="10356" applyNumberFormat="1" applyFont="1" applyFill="1" applyBorder="1" applyAlignment="1" applyProtection="1">
      <alignment horizontal="center" vertical="center" wrapText="1"/>
      <protection locked="0"/>
    </xf>
    <xf numFmtId="170" fontId="37" fillId="15" borderId="12" xfId="10356" applyNumberFormat="1" applyFont="1" applyFill="1" applyBorder="1" applyAlignment="1" applyProtection="1">
      <alignment horizontal="center" vertical="center" wrapText="1"/>
      <protection locked="0"/>
    </xf>
    <xf numFmtId="0" fontId="35" fillId="7" borderId="0" xfId="0" applyFont="1" applyFill="1" applyAlignment="1">
      <alignment horizontal="left"/>
    </xf>
    <xf numFmtId="0" fontId="19" fillId="7" borderId="42" xfId="0" applyFont="1" applyFill="1" applyBorder="1" applyAlignment="1">
      <alignment horizontal="center" vertical="center"/>
    </xf>
    <xf numFmtId="0" fontId="19" fillId="7" borderId="36" xfId="0" applyFont="1" applyFill="1" applyBorder="1" applyAlignment="1">
      <alignment horizontal="center" vertical="center"/>
    </xf>
    <xf numFmtId="0" fontId="19" fillId="7" borderId="37" xfId="0" applyFont="1" applyFill="1" applyBorder="1" applyAlignment="1">
      <alignment horizontal="center" vertical="center"/>
    </xf>
    <xf numFmtId="0" fontId="19" fillId="7" borderId="35" xfId="0" applyFont="1" applyFill="1" applyBorder="1" applyAlignment="1">
      <alignment horizontal="center" vertical="center" wrapText="1"/>
    </xf>
    <xf numFmtId="0" fontId="19" fillId="7" borderId="36" xfId="0" applyFont="1" applyFill="1" applyBorder="1" applyAlignment="1">
      <alignment horizontal="center" vertical="center" wrapText="1"/>
    </xf>
    <xf numFmtId="0" fontId="19" fillId="7" borderId="43" xfId="0" applyFont="1" applyFill="1" applyBorder="1" applyAlignment="1">
      <alignment horizontal="center" vertical="center" wrapText="1"/>
    </xf>
    <xf numFmtId="0" fontId="26" fillId="8" borderId="27" xfId="0" applyFont="1" applyFill="1" applyBorder="1" applyAlignment="1">
      <alignment horizontal="center" vertical="center"/>
    </xf>
    <xf numFmtId="0" fontId="26" fillId="8" borderId="34" xfId="0" applyFont="1" applyFill="1" applyBorder="1" applyAlignment="1">
      <alignment horizontal="center" vertical="center"/>
    </xf>
    <xf numFmtId="0" fontId="26" fillId="8" borderId="7" xfId="0" applyFont="1" applyFill="1" applyBorder="1" applyAlignment="1">
      <alignment horizontal="center" vertical="center"/>
    </xf>
  </cellXfs>
  <cellStyles count="10380">
    <cellStyle name="Buena 2" xfId="9" xr:uid="{00000000-0005-0000-0000-000000000000}"/>
    <cellStyle name="Celda de comprobación 2" xfId="10" xr:uid="{00000000-0005-0000-0000-000001000000}"/>
    <cellStyle name="Celda vinculada 2" xfId="11" xr:uid="{00000000-0005-0000-0000-000002000000}"/>
    <cellStyle name="Comma 10" xfId="668" xr:uid="{00000000-0005-0000-0000-000003000000}"/>
    <cellStyle name="Comma 10 2" xfId="2159" xr:uid="{00000000-0005-0000-0000-000004000000}"/>
    <cellStyle name="Comma 10 3" xfId="3616" xr:uid="{00000000-0005-0000-0000-000005000000}"/>
    <cellStyle name="Comma 10 4" xfId="5053" xr:uid="{00000000-0005-0000-0000-000006000000}"/>
    <cellStyle name="Comma 10 5" xfId="6499" xr:uid="{00000000-0005-0000-0000-000007000000}"/>
    <cellStyle name="Comma 10 6" xfId="7938" xr:uid="{00000000-0005-0000-0000-000008000000}"/>
    <cellStyle name="Comma 10 7" xfId="9373" xr:uid="{00000000-0005-0000-0000-000009000000}"/>
    <cellStyle name="Comma 11" xfId="1224" xr:uid="{00000000-0005-0000-0000-00000A000000}"/>
    <cellStyle name="Comma 11 2" xfId="2703" xr:uid="{00000000-0005-0000-0000-00000B000000}"/>
    <cellStyle name="Comma 11 3" xfId="4140" xr:uid="{00000000-0005-0000-0000-00000C000000}"/>
    <cellStyle name="Comma 11 4" xfId="5577" xr:uid="{00000000-0005-0000-0000-00000D000000}"/>
    <cellStyle name="Comma 11 5" xfId="7023" xr:uid="{00000000-0005-0000-0000-00000E000000}"/>
    <cellStyle name="Comma 11 6" xfId="8464" xr:uid="{00000000-0005-0000-0000-00000F000000}"/>
    <cellStyle name="Comma 11 7" xfId="7871" xr:uid="{00000000-0005-0000-0000-000010000000}"/>
    <cellStyle name="Comma 11 8" xfId="9897" xr:uid="{00000000-0005-0000-0000-000011000000}"/>
    <cellStyle name="Comma 12" xfId="1703" xr:uid="{00000000-0005-0000-0000-000012000000}"/>
    <cellStyle name="Comma 13" xfId="3160" xr:uid="{00000000-0005-0000-0000-000013000000}"/>
    <cellStyle name="Comma 14" xfId="4597" xr:uid="{00000000-0005-0000-0000-000014000000}"/>
    <cellStyle name="Comma 15" xfId="251" xr:uid="{00000000-0005-0000-0000-000015000000}"/>
    <cellStyle name="Comma 15 2" xfId="6043" xr:uid="{00000000-0005-0000-0000-000016000000}"/>
    <cellStyle name="Comma 16" xfId="7480" xr:uid="{00000000-0005-0000-0000-000017000000}"/>
    <cellStyle name="Comma 17" xfId="8921" xr:uid="{00000000-0005-0000-0000-000018000000}"/>
    <cellStyle name="Comma 2" xfId="4" xr:uid="{00000000-0005-0000-0000-000019000000}"/>
    <cellStyle name="Comma 2 10" xfId="1157" xr:uid="{00000000-0005-0000-0000-00001A000000}"/>
    <cellStyle name="Comma 2 10 2" xfId="2636" xr:uid="{00000000-0005-0000-0000-00001B000000}"/>
    <cellStyle name="Comma 2 10 3" xfId="4073" xr:uid="{00000000-0005-0000-0000-00001C000000}"/>
    <cellStyle name="Comma 2 10 4" xfId="5510" xr:uid="{00000000-0005-0000-0000-00001D000000}"/>
    <cellStyle name="Comma 2 10 5" xfId="6956" xr:uid="{00000000-0005-0000-0000-00001E000000}"/>
    <cellStyle name="Comma 2 10 6" xfId="8397" xr:uid="{00000000-0005-0000-0000-00001F000000}"/>
    <cellStyle name="Comma 2 10 7" xfId="9830" xr:uid="{00000000-0005-0000-0000-000020000000}"/>
    <cellStyle name="Comma 2 11" xfId="1229" xr:uid="{00000000-0005-0000-0000-000021000000}"/>
    <cellStyle name="Comma 2 11 2" xfId="2708" xr:uid="{00000000-0005-0000-0000-000022000000}"/>
    <cellStyle name="Comma 2 11 3" xfId="4145" xr:uid="{00000000-0005-0000-0000-000023000000}"/>
    <cellStyle name="Comma 2 11 4" xfId="5582" xr:uid="{00000000-0005-0000-0000-000024000000}"/>
    <cellStyle name="Comma 2 11 5" xfId="7028" xr:uid="{00000000-0005-0000-0000-000025000000}"/>
    <cellStyle name="Comma 2 11 6" xfId="8469" xr:uid="{00000000-0005-0000-0000-000026000000}"/>
    <cellStyle name="Comma 2 11 7" xfId="9902" xr:uid="{00000000-0005-0000-0000-000027000000}"/>
    <cellStyle name="Comma 2 12" xfId="1708" xr:uid="{00000000-0005-0000-0000-000028000000}"/>
    <cellStyle name="Comma 2 13" xfId="3165" xr:uid="{00000000-0005-0000-0000-000029000000}"/>
    <cellStyle name="Comma 2 14" xfId="4602" xr:uid="{00000000-0005-0000-0000-00002A000000}"/>
    <cellStyle name="Comma 2 15" xfId="6048" xr:uid="{00000000-0005-0000-0000-00002B000000}"/>
    <cellStyle name="Comma 2 16" xfId="7486" xr:uid="{00000000-0005-0000-0000-00002C000000}"/>
    <cellStyle name="Comma 2 17" xfId="8926" xr:uid="{00000000-0005-0000-0000-00002D000000}"/>
    <cellStyle name="Comma 2 2" xfId="13" xr:uid="{00000000-0005-0000-0000-00002E000000}"/>
    <cellStyle name="Comma 2 2 10" xfId="1237" xr:uid="{00000000-0005-0000-0000-00002F000000}"/>
    <cellStyle name="Comma 2 2 10 2" xfId="2716" xr:uid="{00000000-0005-0000-0000-000030000000}"/>
    <cellStyle name="Comma 2 2 10 3" xfId="4153" xr:uid="{00000000-0005-0000-0000-000031000000}"/>
    <cellStyle name="Comma 2 2 10 4" xfId="5590" xr:uid="{00000000-0005-0000-0000-000032000000}"/>
    <cellStyle name="Comma 2 2 10 5" xfId="7036" xr:uid="{00000000-0005-0000-0000-000033000000}"/>
    <cellStyle name="Comma 2 2 10 6" xfId="8477" xr:uid="{00000000-0005-0000-0000-000034000000}"/>
    <cellStyle name="Comma 2 2 10 7" xfId="9910" xr:uid="{00000000-0005-0000-0000-000035000000}"/>
    <cellStyle name="Comma 2 2 11" xfId="1716" xr:uid="{00000000-0005-0000-0000-000036000000}"/>
    <cellStyle name="Comma 2 2 12" xfId="3173" xr:uid="{00000000-0005-0000-0000-000037000000}"/>
    <cellStyle name="Comma 2 2 13" xfId="4610" xr:uid="{00000000-0005-0000-0000-000038000000}"/>
    <cellStyle name="Comma 2 2 14" xfId="6056" xr:uid="{00000000-0005-0000-0000-000039000000}"/>
    <cellStyle name="Comma 2 2 15" xfId="7494" xr:uid="{00000000-0005-0000-0000-00003A000000}"/>
    <cellStyle name="Comma 2 2 16" xfId="8934" xr:uid="{00000000-0005-0000-0000-00003B000000}"/>
    <cellStyle name="Comma 2 2 2" xfId="184" xr:uid="{00000000-0005-0000-0000-00003C000000}"/>
    <cellStyle name="Comma 2 2 2 10" xfId="1733" xr:uid="{00000000-0005-0000-0000-00003D000000}"/>
    <cellStyle name="Comma 2 2 2 11" xfId="3190" xr:uid="{00000000-0005-0000-0000-00003E000000}"/>
    <cellStyle name="Comma 2 2 2 12" xfId="4627" xr:uid="{00000000-0005-0000-0000-00003F000000}"/>
    <cellStyle name="Comma 2 2 2 13" xfId="6073" xr:uid="{00000000-0005-0000-0000-000040000000}"/>
    <cellStyle name="Comma 2 2 2 14" xfId="7511" xr:uid="{00000000-0005-0000-0000-000041000000}"/>
    <cellStyle name="Comma 2 2 2 15" xfId="8951" xr:uid="{00000000-0005-0000-0000-000042000000}"/>
    <cellStyle name="Comma 2 2 2 2" xfId="247" xr:uid="{00000000-0005-0000-0000-000043000000}"/>
    <cellStyle name="Comma 2 2 2 2 10" xfId="3221" xr:uid="{00000000-0005-0000-0000-000044000000}"/>
    <cellStyle name="Comma 2 2 2 2 11" xfId="4658" xr:uid="{00000000-0005-0000-0000-000045000000}"/>
    <cellStyle name="Comma 2 2 2 2 12" xfId="6104" xr:uid="{00000000-0005-0000-0000-000046000000}"/>
    <cellStyle name="Comma 2 2 2 2 13" xfId="7542" xr:uid="{00000000-0005-0000-0000-000047000000}"/>
    <cellStyle name="Comma 2 2 2 2 14" xfId="8982" xr:uid="{00000000-0005-0000-0000-000048000000}"/>
    <cellStyle name="Comma 2 2 2 2 2" xfId="315" xr:uid="{00000000-0005-0000-0000-000049000000}"/>
    <cellStyle name="Comma 2 2 2 2 2 10" xfId="7607" xr:uid="{00000000-0005-0000-0000-00004A000000}"/>
    <cellStyle name="Comma 2 2 2 2 2 11" xfId="9046" xr:uid="{00000000-0005-0000-0000-00004B000000}"/>
    <cellStyle name="Comma 2 2 2 2 2 2" xfId="453" xr:uid="{00000000-0005-0000-0000-00004C000000}"/>
    <cellStyle name="Comma 2 2 2 2 2 2 2" xfId="935" xr:uid="{00000000-0005-0000-0000-00004D000000}"/>
    <cellStyle name="Comma 2 2 2 2 2 2 2 2" xfId="2426" xr:uid="{00000000-0005-0000-0000-00004E000000}"/>
    <cellStyle name="Comma 2 2 2 2 2 2 2 3" xfId="3873" xr:uid="{00000000-0005-0000-0000-00004F000000}"/>
    <cellStyle name="Comma 2 2 2 2 2 2 2 4" xfId="5310" xr:uid="{00000000-0005-0000-0000-000050000000}"/>
    <cellStyle name="Comma 2 2 2 2 2 2 2 5" xfId="6756" xr:uid="{00000000-0005-0000-0000-000051000000}"/>
    <cellStyle name="Comma 2 2 2 2 2 2 2 6" xfId="8196" xr:uid="{00000000-0005-0000-0000-000052000000}"/>
    <cellStyle name="Comma 2 2 2 2 2 2 2 7" xfId="9630" xr:uid="{00000000-0005-0000-0000-000053000000}"/>
    <cellStyle name="Comma 2 2 2 2 2 2 3" xfId="1487" xr:uid="{00000000-0005-0000-0000-000054000000}"/>
    <cellStyle name="Comma 2 2 2 2 2 2 3 2" xfId="2960" xr:uid="{00000000-0005-0000-0000-000055000000}"/>
    <cellStyle name="Comma 2 2 2 2 2 2 3 3" xfId="4397" xr:uid="{00000000-0005-0000-0000-000056000000}"/>
    <cellStyle name="Comma 2 2 2 2 2 2 3 4" xfId="5834" xr:uid="{00000000-0005-0000-0000-000057000000}"/>
    <cellStyle name="Comma 2 2 2 2 2 2 3 5" xfId="7280" xr:uid="{00000000-0005-0000-0000-000058000000}"/>
    <cellStyle name="Comma 2 2 2 2 2 2 3 6" xfId="8721" xr:uid="{00000000-0005-0000-0000-000059000000}"/>
    <cellStyle name="Comma 2 2 2 2 2 2 3 7" xfId="10154" xr:uid="{00000000-0005-0000-0000-00005A000000}"/>
    <cellStyle name="Comma 2 2 2 2 2 2 4" xfId="1959" xr:uid="{00000000-0005-0000-0000-00005B000000}"/>
    <cellStyle name="Comma 2 2 2 2 2 2 5" xfId="3416" xr:uid="{00000000-0005-0000-0000-00005C000000}"/>
    <cellStyle name="Comma 2 2 2 2 2 2 6" xfId="4853" xr:uid="{00000000-0005-0000-0000-00005D000000}"/>
    <cellStyle name="Comma 2 2 2 2 2 2 7" xfId="6299" xr:uid="{00000000-0005-0000-0000-00005E000000}"/>
    <cellStyle name="Comma 2 2 2 2 2 2 8" xfId="7737" xr:uid="{00000000-0005-0000-0000-00005F000000}"/>
    <cellStyle name="Comma 2 2 2 2 2 2 9" xfId="9174" xr:uid="{00000000-0005-0000-0000-000060000000}"/>
    <cellStyle name="Comma 2 2 2 2 2 3" xfId="657" xr:uid="{00000000-0005-0000-0000-000061000000}"/>
    <cellStyle name="Comma 2 2 2 2 2 3 2" xfId="1136" xr:uid="{00000000-0005-0000-0000-000062000000}"/>
    <cellStyle name="Comma 2 2 2 2 2 3 2 2" xfId="2627" xr:uid="{00000000-0005-0000-0000-000063000000}"/>
    <cellStyle name="Comma 2 2 2 2 2 3 2 3" xfId="4070" xr:uid="{00000000-0005-0000-0000-000064000000}"/>
    <cellStyle name="Comma 2 2 2 2 2 3 2 4" xfId="5507" xr:uid="{00000000-0005-0000-0000-000065000000}"/>
    <cellStyle name="Comma 2 2 2 2 2 3 2 5" xfId="6953" xr:uid="{00000000-0005-0000-0000-000066000000}"/>
    <cellStyle name="Comma 2 2 2 2 2 3 2 6" xfId="8393" xr:uid="{00000000-0005-0000-0000-000067000000}"/>
    <cellStyle name="Comma 2 2 2 2 2 3 2 7" xfId="9827" xr:uid="{00000000-0005-0000-0000-000068000000}"/>
    <cellStyle name="Comma 2 2 2 2 2 3 3" xfId="1686" xr:uid="{00000000-0005-0000-0000-000069000000}"/>
    <cellStyle name="Comma 2 2 2 2 2 3 3 2" xfId="3157" xr:uid="{00000000-0005-0000-0000-00006A000000}"/>
    <cellStyle name="Comma 2 2 2 2 2 3 3 3" xfId="4594" xr:uid="{00000000-0005-0000-0000-00006B000000}"/>
    <cellStyle name="Comma 2 2 2 2 2 3 3 4" xfId="6031" xr:uid="{00000000-0005-0000-0000-00006C000000}"/>
    <cellStyle name="Comma 2 2 2 2 2 3 3 5" xfId="7477" xr:uid="{00000000-0005-0000-0000-00006D000000}"/>
    <cellStyle name="Comma 2 2 2 2 2 3 3 6" xfId="8918" xr:uid="{00000000-0005-0000-0000-00006E000000}"/>
    <cellStyle name="Comma 2 2 2 2 2 3 3 7" xfId="10351" xr:uid="{00000000-0005-0000-0000-00006F000000}"/>
    <cellStyle name="Comma 2 2 2 2 2 3 4" xfId="2156" xr:uid="{00000000-0005-0000-0000-000070000000}"/>
    <cellStyle name="Comma 2 2 2 2 2 3 5" xfId="3613" xr:uid="{00000000-0005-0000-0000-000071000000}"/>
    <cellStyle name="Comma 2 2 2 2 2 3 6" xfId="5050" xr:uid="{00000000-0005-0000-0000-000072000000}"/>
    <cellStyle name="Comma 2 2 2 2 2 3 7" xfId="6496" xr:uid="{00000000-0005-0000-0000-000073000000}"/>
    <cellStyle name="Comma 2 2 2 2 2 3 8" xfId="7935" xr:uid="{00000000-0005-0000-0000-000074000000}"/>
    <cellStyle name="Comma 2 2 2 2 2 3 9" xfId="9370" xr:uid="{00000000-0005-0000-0000-000075000000}"/>
    <cellStyle name="Comma 2 2 2 2 2 4" xfId="799" xr:uid="{00000000-0005-0000-0000-000076000000}"/>
    <cellStyle name="Comma 2 2 2 2 2 4 2" xfId="2290" xr:uid="{00000000-0005-0000-0000-000077000000}"/>
    <cellStyle name="Comma 2 2 2 2 2 4 3" xfId="3743" xr:uid="{00000000-0005-0000-0000-000078000000}"/>
    <cellStyle name="Comma 2 2 2 2 2 4 4" xfId="5180" xr:uid="{00000000-0005-0000-0000-000079000000}"/>
    <cellStyle name="Comma 2 2 2 2 2 4 5" xfId="6626" xr:uid="{00000000-0005-0000-0000-00007A000000}"/>
    <cellStyle name="Comma 2 2 2 2 2 4 6" xfId="8066" xr:uid="{00000000-0005-0000-0000-00007B000000}"/>
    <cellStyle name="Comma 2 2 2 2 2 4 7" xfId="9500" xr:uid="{00000000-0005-0000-0000-00007C000000}"/>
    <cellStyle name="Comma 2 2 2 2 2 5" xfId="1355" xr:uid="{00000000-0005-0000-0000-00007D000000}"/>
    <cellStyle name="Comma 2 2 2 2 2 5 2" xfId="2830" xr:uid="{00000000-0005-0000-0000-00007E000000}"/>
    <cellStyle name="Comma 2 2 2 2 2 5 3" xfId="4267" xr:uid="{00000000-0005-0000-0000-00007F000000}"/>
    <cellStyle name="Comma 2 2 2 2 2 5 4" xfId="5704" xr:uid="{00000000-0005-0000-0000-000080000000}"/>
    <cellStyle name="Comma 2 2 2 2 2 5 5" xfId="7150" xr:uid="{00000000-0005-0000-0000-000081000000}"/>
    <cellStyle name="Comma 2 2 2 2 2 5 6" xfId="8591" xr:uid="{00000000-0005-0000-0000-000082000000}"/>
    <cellStyle name="Comma 2 2 2 2 2 5 7" xfId="10024" xr:uid="{00000000-0005-0000-0000-000083000000}"/>
    <cellStyle name="Comma 2 2 2 2 2 6" xfId="1829" xr:uid="{00000000-0005-0000-0000-000084000000}"/>
    <cellStyle name="Comma 2 2 2 2 2 7" xfId="3286" xr:uid="{00000000-0005-0000-0000-000085000000}"/>
    <cellStyle name="Comma 2 2 2 2 2 8" xfId="4723" xr:uid="{00000000-0005-0000-0000-000086000000}"/>
    <cellStyle name="Comma 2 2 2 2 2 9" xfId="6169" xr:uid="{00000000-0005-0000-0000-000087000000}"/>
    <cellStyle name="Comma 2 2 2 2 3" xfId="384" xr:uid="{00000000-0005-0000-0000-000088000000}"/>
    <cellStyle name="Comma 2 2 2 2 3 2" xfId="866" xr:uid="{00000000-0005-0000-0000-000089000000}"/>
    <cellStyle name="Comma 2 2 2 2 3 2 2" xfId="2357" xr:uid="{00000000-0005-0000-0000-00008A000000}"/>
    <cellStyle name="Comma 2 2 2 2 3 2 3" xfId="3808" xr:uid="{00000000-0005-0000-0000-00008B000000}"/>
    <cellStyle name="Comma 2 2 2 2 3 2 4" xfId="5245" xr:uid="{00000000-0005-0000-0000-00008C000000}"/>
    <cellStyle name="Comma 2 2 2 2 3 2 5" xfId="6691" xr:uid="{00000000-0005-0000-0000-00008D000000}"/>
    <cellStyle name="Comma 2 2 2 2 3 2 6" xfId="8131" xr:uid="{00000000-0005-0000-0000-00008E000000}"/>
    <cellStyle name="Comma 2 2 2 2 3 2 7" xfId="9565" xr:uid="{00000000-0005-0000-0000-00008F000000}"/>
    <cellStyle name="Comma 2 2 2 2 3 3" xfId="1420" xr:uid="{00000000-0005-0000-0000-000090000000}"/>
    <cellStyle name="Comma 2 2 2 2 3 3 2" xfId="2895" xr:uid="{00000000-0005-0000-0000-000091000000}"/>
    <cellStyle name="Comma 2 2 2 2 3 3 3" xfId="4332" xr:uid="{00000000-0005-0000-0000-000092000000}"/>
    <cellStyle name="Comma 2 2 2 2 3 3 4" xfId="5769" xr:uid="{00000000-0005-0000-0000-000093000000}"/>
    <cellStyle name="Comma 2 2 2 2 3 3 5" xfId="7215" xr:uid="{00000000-0005-0000-0000-000094000000}"/>
    <cellStyle name="Comma 2 2 2 2 3 3 6" xfId="8656" xr:uid="{00000000-0005-0000-0000-000095000000}"/>
    <cellStyle name="Comma 2 2 2 2 3 3 7" xfId="10089" xr:uid="{00000000-0005-0000-0000-000096000000}"/>
    <cellStyle name="Comma 2 2 2 2 3 4" xfId="1894" xr:uid="{00000000-0005-0000-0000-000097000000}"/>
    <cellStyle name="Comma 2 2 2 2 3 5" xfId="3351" xr:uid="{00000000-0005-0000-0000-000098000000}"/>
    <cellStyle name="Comma 2 2 2 2 3 6" xfId="4788" xr:uid="{00000000-0005-0000-0000-000099000000}"/>
    <cellStyle name="Comma 2 2 2 2 3 7" xfId="6234" xr:uid="{00000000-0005-0000-0000-00009A000000}"/>
    <cellStyle name="Comma 2 2 2 2 3 8" xfId="7672" xr:uid="{00000000-0005-0000-0000-00009B000000}"/>
    <cellStyle name="Comma 2 2 2 2 3 9" xfId="9109" xr:uid="{00000000-0005-0000-0000-00009C000000}"/>
    <cellStyle name="Comma 2 2 2 2 4" xfId="523" xr:uid="{00000000-0005-0000-0000-00009D000000}"/>
    <cellStyle name="Comma 2 2 2 2 4 2" xfId="1002" xr:uid="{00000000-0005-0000-0000-00009E000000}"/>
    <cellStyle name="Comma 2 2 2 2 4 2 2" xfId="2493" xr:uid="{00000000-0005-0000-0000-00009F000000}"/>
    <cellStyle name="Comma 2 2 2 2 4 2 3" xfId="3940" xr:uid="{00000000-0005-0000-0000-0000A0000000}"/>
    <cellStyle name="Comma 2 2 2 2 4 2 4" xfId="5377" xr:uid="{00000000-0005-0000-0000-0000A1000000}"/>
    <cellStyle name="Comma 2 2 2 2 4 2 5" xfId="6823" xr:uid="{00000000-0005-0000-0000-0000A2000000}"/>
    <cellStyle name="Comma 2 2 2 2 4 2 6" xfId="8263" xr:uid="{00000000-0005-0000-0000-0000A3000000}"/>
    <cellStyle name="Comma 2 2 2 2 4 2 7" xfId="9697" xr:uid="{00000000-0005-0000-0000-0000A4000000}"/>
    <cellStyle name="Comma 2 2 2 2 4 3" xfId="1554" xr:uid="{00000000-0005-0000-0000-0000A5000000}"/>
    <cellStyle name="Comma 2 2 2 2 4 3 2" xfId="3027" xr:uid="{00000000-0005-0000-0000-0000A6000000}"/>
    <cellStyle name="Comma 2 2 2 2 4 3 3" xfId="4464" xr:uid="{00000000-0005-0000-0000-0000A7000000}"/>
    <cellStyle name="Comma 2 2 2 2 4 3 4" xfId="5901" xr:uid="{00000000-0005-0000-0000-0000A8000000}"/>
    <cellStyle name="Comma 2 2 2 2 4 3 5" xfId="7347" xr:uid="{00000000-0005-0000-0000-0000A9000000}"/>
    <cellStyle name="Comma 2 2 2 2 4 3 6" xfId="8788" xr:uid="{00000000-0005-0000-0000-0000AA000000}"/>
    <cellStyle name="Comma 2 2 2 2 4 3 7" xfId="10221" xr:uid="{00000000-0005-0000-0000-0000AB000000}"/>
    <cellStyle name="Comma 2 2 2 2 4 4" xfId="2026" xr:uid="{00000000-0005-0000-0000-0000AC000000}"/>
    <cellStyle name="Comma 2 2 2 2 4 5" xfId="3483" xr:uid="{00000000-0005-0000-0000-0000AD000000}"/>
    <cellStyle name="Comma 2 2 2 2 4 6" xfId="4920" xr:uid="{00000000-0005-0000-0000-0000AE000000}"/>
    <cellStyle name="Comma 2 2 2 2 4 7" xfId="6366" xr:uid="{00000000-0005-0000-0000-0000AF000000}"/>
    <cellStyle name="Comma 2 2 2 2 4 8" xfId="7804" xr:uid="{00000000-0005-0000-0000-0000B0000000}"/>
    <cellStyle name="Comma 2 2 2 2 4 9" xfId="9241" xr:uid="{00000000-0005-0000-0000-0000B1000000}"/>
    <cellStyle name="Comma 2 2 2 2 5" xfId="588" xr:uid="{00000000-0005-0000-0000-0000B2000000}"/>
    <cellStyle name="Comma 2 2 2 2 5 2" xfId="1067" xr:uid="{00000000-0005-0000-0000-0000B3000000}"/>
    <cellStyle name="Comma 2 2 2 2 5 2 2" xfId="2558" xr:uid="{00000000-0005-0000-0000-0000B4000000}"/>
    <cellStyle name="Comma 2 2 2 2 5 2 3" xfId="4005" xr:uid="{00000000-0005-0000-0000-0000B5000000}"/>
    <cellStyle name="Comma 2 2 2 2 5 2 4" xfId="5442" xr:uid="{00000000-0005-0000-0000-0000B6000000}"/>
    <cellStyle name="Comma 2 2 2 2 5 2 5" xfId="6888" xr:uid="{00000000-0005-0000-0000-0000B7000000}"/>
    <cellStyle name="Comma 2 2 2 2 5 2 6" xfId="8328" xr:uid="{00000000-0005-0000-0000-0000B8000000}"/>
    <cellStyle name="Comma 2 2 2 2 5 2 7" xfId="9762" xr:uid="{00000000-0005-0000-0000-0000B9000000}"/>
    <cellStyle name="Comma 2 2 2 2 5 3" xfId="1619" xr:uid="{00000000-0005-0000-0000-0000BA000000}"/>
    <cellStyle name="Comma 2 2 2 2 5 3 2" xfId="3092" xr:uid="{00000000-0005-0000-0000-0000BB000000}"/>
    <cellStyle name="Comma 2 2 2 2 5 3 3" xfId="4529" xr:uid="{00000000-0005-0000-0000-0000BC000000}"/>
    <cellStyle name="Comma 2 2 2 2 5 3 4" xfId="5966" xr:uid="{00000000-0005-0000-0000-0000BD000000}"/>
    <cellStyle name="Comma 2 2 2 2 5 3 5" xfId="7412" xr:uid="{00000000-0005-0000-0000-0000BE000000}"/>
    <cellStyle name="Comma 2 2 2 2 5 3 6" xfId="8853" xr:uid="{00000000-0005-0000-0000-0000BF000000}"/>
    <cellStyle name="Comma 2 2 2 2 5 3 7" xfId="10286" xr:uid="{00000000-0005-0000-0000-0000C0000000}"/>
    <cellStyle name="Comma 2 2 2 2 5 4" xfId="2091" xr:uid="{00000000-0005-0000-0000-0000C1000000}"/>
    <cellStyle name="Comma 2 2 2 2 5 5" xfId="3548" xr:uid="{00000000-0005-0000-0000-0000C2000000}"/>
    <cellStyle name="Comma 2 2 2 2 5 6" xfId="4985" xr:uid="{00000000-0005-0000-0000-0000C3000000}"/>
    <cellStyle name="Comma 2 2 2 2 5 7" xfId="6431" xr:uid="{00000000-0005-0000-0000-0000C4000000}"/>
    <cellStyle name="Comma 2 2 2 2 5 8" xfId="7869" xr:uid="{00000000-0005-0000-0000-0000C5000000}"/>
    <cellStyle name="Comma 2 2 2 2 5 9" xfId="9305" xr:uid="{00000000-0005-0000-0000-0000C6000000}"/>
    <cellStyle name="Comma 2 2 2 2 6" xfId="730" xr:uid="{00000000-0005-0000-0000-0000C7000000}"/>
    <cellStyle name="Comma 2 2 2 2 6 2" xfId="2221" xr:uid="{00000000-0005-0000-0000-0000C8000000}"/>
    <cellStyle name="Comma 2 2 2 2 6 3" xfId="3678" xr:uid="{00000000-0005-0000-0000-0000C9000000}"/>
    <cellStyle name="Comma 2 2 2 2 6 4" xfId="5115" xr:uid="{00000000-0005-0000-0000-0000CA000000}"/>
    <cellStyle name="Comma 2 2 2 2 6 5" xfId="6561" xr:uid="{00000000-0005-0000-0000-0000CB000000}"/>
    <cellStyle name="Comma 2 2 2 2 6 6" xfId="8000" xr:uid="{00000000-0005-0000-0000-0000CC000000}"/>
    <cellStyle name="Comma 2 2 2 2 6 7" xfId="9435" xr:uid="{00000000-0005-0000-0000-0000CD000000}"/>
    <cellStyle name="Comma 2 2 2 2 7" xfId="1221" xr:uid="{00000000-0005-0000-0000-0000CE000000}"/>
    <cellStyle name="Comma 2 2 2 2 7 2" xfId="2700" xr:uid="{00000000-0005-0000-0000-0000CF000000}"/>
    <cellStyle name="Comma 2 2 2 2 7 3" xfId="4137" xr:uid="{00000000-0005-0000-0000-0000D0000000}"/>
    <cellStyle name="Comma 2 2 2 2 7 4" xfId="5574" xr:uid="{00000000-0005-0000-0000-0000D1000000}"/>
    <cellStyle name="Comma 2 2 2 2 7 5" xfId="7020" xr:uid="{00000000-0005-0000-0000-0000D2000000}"/>
    <cellStyle name="Comma 2 2 2 2 7 6" xfId="8461" xr:uid="{00000000-0005-0000-0000-0000D3000000}"/>
    <cellStyle name="Comma 2 2 2 2 7 7" xfId="9894" xr:uid="{00000000-0005-0000-0000-0000D4000000}"/>
    <cellStyle name="Comma 2 2 2 2 8" xfId="1286" xr:uid="{00000000-0005-0000-0000-0000D5000000}"/>
    <cellStyle name="Comma 2 2 2 2 8 2" xfId="2765" xr:uid="{00000000-0005-0000-0000-0000D6000000}"/>
    <cellStyle name="Comma 2 2 2 2 8 3" xfId="4202" xr:uid="{00000000-0005-0000-0000-0000D7000000}"/>
    <cellStyle name="Comma 2 2 2 2 8 4" xfId="5639" xr:uid="{00000000-0005-0000-0000-0000D8000000}"/>
    <cellStyle name="Comma 2 2 2 2 8 5" xfId="7085" xr:uid="{00000000-0005-0000-0000-0000D9000000}"/>
    <cellStyle name="Comma 2 2 2 2 8 6" xfId="8526" xr:uid="{00000000-0005-0000-0000-0000DA000000}"/>
    <cellStyle name="Comma 2 2 2 2 8 7" xfId="9959" xr:uid="{00000000-0005-0000-0000-0000DB000000}"/>
    <cellStyle name="Comma 2 2 2 2 9" xfId="1764" xr:uid="{00000000-0005-0000-0000-0000DC000000}"/>
    <cellStyle name="Comma 2 2 2 3" xfId="284" xr:uid="{00000000-0005-0000-0000-0000DD000000}"/>
    <cellStyle name="Comma 2 2 2 3 10" xfId="7576" xr:uid="{00000000-0005-0000-0000-0000DE000000}"/>
    <cellStyle name="Comma 2 2 2 3 11" xfId="9015" xr:uid="{00000000-0005-0000-0000-0000DF000000}"/>
    <cellStyle name="Comma 2 2 2 3 2" xfId="422" xr:uid="{00000000-0005-0000-0000-0000E0000000}"/>
    <cellStyle name="Comma 2 2 2 3 2 2" xfId="904" xr:uid="{00000000-0005-0000-0000-0000E1000000}"/>
    <cellStyle name="Comma 2 2 2 3 2 2 2" xfId="2395" xr:uid="{00000000-0005-0000-0000-0000E2000000}"/>
    <cellStyle name="Comma 2 2 2 3 2 2 3" xfId="3842" xr:uid="{00000000-0005-0000-0000-0000E3000000}"/>
    <cellStyle name="Comma 2 2 2 3 2 2 4" xfId="5279" xr:uid="{00000000-0005-0000-0000-0000E4000000}"/>
    <cellStyle name="Comma 2 2 2 3 2 2 5" xfId="6725" xr:uid="{00000000-0005-0000-0000-0000E5000000}"/>
    <cellStyle name="Comma 2 2 2 3 2 2 6" xfId="8165" xr:uid="{00000000-0005-0000-0000-0000E6000000}"/>
    <cellStyle name="Comma 2 2 2 3 2 2 7" xfId="9599" xr:uid="{00000000-0005-0000-0000-0000E7000000}"/>
    <cellStyle name="Comma 2 2 2 3 2 3" xfId="1456" xr:uid="{00000000-0005-0000-0000-0000E8000000}"/>
    <cellStyle name="Comma 2 2 2 3 2 3 2" xfId="2929" xr:uid="{00000000-0005-0000-0000-0000E9000000}"/>
    <cellStyle name="Comma 2 2 2 3 2 3 3" xfId="4366" xr:uid="{00000000-0005-0000-0000-0000EA000000}"/>
    <cellStyle name="Comma 2 2 2 3 2 3 4" xfId="5803" xr:uid="{00000000-0005-0000-0000-0000EB000000}"/>
    <cellStyle name="Comma 2 2 2 3 2 3 5" xfId="7249" xr:uid="{00000000-0005-0000-0000-0000EC000000}"/>
    <cellStyle name="Comma 2 2 2 3 2 3 6" xfId="8690" xr:uid="{00000000-0005-0000-0000-0000ED000000}"/>
    <cellStyle name="Comma 2 2 2 3 2 3 7" xfId="10123" xr:uid="{00000000-0005-0000-0000-0000EE000000}"/>
    <cellStyle name="Comma 2 2 2 3 2 4" xfId="1928" xr:uid="{00000000-0005-0000-0000-0000EF000000}"/>
    <cellStyle name="Comma 2 2 2 3 2 5" xfId="3385" xr:uid="{00000000-0005-0000-0000-0000F0000000}"/>
    <cellStyle name="Comma 2 2 2 3 2 6" xfId="4822" xr:uid="{00000000-0005-0000-0000-0000F1000000}"/>
    <cellStyle name="Comma 2 2 2 3 2 7" xfId="6268" xr:uid="{00000000-0005-0000-0000-0000F2000000}"/>
    <cellStyle name="Comma 2 2 2 3 2 8" xfId="7706" xr:uid="{00000000-0005-0000-0000-0000F3000000}"/>
    <cellStyle name="Comma 2 2 2 3 2 9" xfId="9143" xr:uid="{00000000-0005-0000-0000-0000F4000000}"/>
    <cellStyle name="Comma 2 2 2 3 3" xfId="626" xr:uid="{00000000-0005-0000-0000-0000F5000000}"/>
    <cellStyle name="Comma 2 2 2 3 3 2" xfId="1105" xr:uid="{00000000-0005-0000-0000-0000F6000000}"/>
    <cellStyle name="Comma 2 2 2 3 3 2 2" xfId="2596" xr:uid="{00000000-0005-0000-0000-0000F7000000}"/>
    <cellStyle name="Comma 2 2 2 3 3 2 3" xfId="4039" xr:uid="{00000000-0005-0000-0000-0000F8000000}"/>
    <cellStyle name="Comma 2 2 2 3 3 2 4" xfId="5476" xr:uid="{00000000-0005-0000-0000-0000F9000000}"/>
    <cellStyle name="Comma 2 2 2 3 3 2 5" xfId="6922" xr:uid="{00000000-0005-0000-0000-0000FA000000}"/>
    <cellStyle name="Comma 2 2 2 3 3 2 6" xfId="8362" xr:uid="{00000000-0005-0000-0000-0000FB000000}"/>
    <cellStyle name="Comma 2 2 2 3 3 2 7" xfId="9796" xr:uid="{00000000-0005-0000-0000-0000FC000000}"/>
    <cellStyle name="Comma 2 2 2 3 3 3" xfId="1655" xr:uid="{00000000-0005-0000-0000-0000FD000000}"/>
    <cellStyle name="Comma 2 2 2 3 3 3 2" xfId="3126" xr:uid="{00000000-0005-0000-0000-0000FE000000}"/>
    <cellStyle name="Comma 2 2 2 3 3 3 3" xfId="4563" xr:uid="{00000000-0005-0000-0000-0000FF000000}"/>
    <cellStyle name="Comma 2 2 2 3 3 3 4" xfId="6000" xr:uid="{00000000-0005-0000-0000-000000010000}"/>
    <cellStyle name="Comma 2 2 2 3 3 3 5" xfId="7446" xr:uid="{00000000-0005-0000-0000-000001010000}"/>
    <cellStyle name="Comma 2 2 2 3 3 3 6" xfId="8887" xr:uid="{00000000-0005-0000-0000-000002010000}"/>
    <cellStyle name="Comma 2 2 2 3 3 3 7" xfId="10320" xr:uid="{00000000-0005-0000-0000-000003010000}"/>
    <cellStyle name="Comma 2 2 2 3 3 4" xfId="2125" xr:uid="{00000000-0005-0000-0000-000004010000}"/>
    <cellStyle name="Comma 2 2 2 3 3 5" xfId="3582" xr:uid="{00000000-0005-0000-0000-000005010000}"/>
    <cellStyle name="Comma 2 2 2 3 3 6" xfId="5019" xr:uid="{00000000-0005-0000-0000-000006010000}"/>
    <cellStyle name="Comma 2 2 2 3 3 7" xfId="6465" xr:uid="{00000000-0005-0000-0000-000007010000}"/>
    <cellStyle name="Comma 2 2 2 3 3 8" xfId="7904" xr:uid="{00000000-0005-0000-0000-000008010000}"/>
    <cellStyle name="Comma 2 2 2 3 3 9" xfId="9339" xr:uid="{00000000-0005-0000-0000-000009010000}"/>
    <cellStyle name="Comma 2 2 2 3 4" xfId="768" xr:uid="{00000000-0005-0000-0000-00000A010000}"/>
    <cellStyle name="Comma 2 2 2 3 4 2" xfId="2259" xr:uid="{00000000-0005-0000-0000-00000B010000}"/>
    <cellStyle name="Comma 2 2 2 3 4 3" xfId="3712" xr:uid="{00000000-0005-0000-0000-00000C010000}"/>
    <cellStyle name="Comma 2 2 2 3 4 4" xfId="5149" xr:uid="{00000000-0005-0000-0000-00000D010000}"/>
    <cellStyle name="Comma 2 2 2 3 4 5" xfId="6595" xr:uid="{00000000-0005-0000-0000-00000E010000}"/>
    <cellStyle name="Comma 2 2 2 3 4 6" xfId="8035" xr:uid="{00000000-0005-0000-0000-00000F010000}"/>
    <cellStyle name="Comma 2 2 2 3 4 7" xfId="9469" xr:uid="{00000000-0005-0000-0000-000010010000}"/>
    <cellStyle name="Comma 2 2 2 3 5" xfId="1324" xr:uid="{00000000-0005-0000-0000-000011010000}"/>
    <cellStyle name="Comma 2 2 2 3 5 2" xfId="2799" xr:uid="{00000000-0005-0000-0000-000012010000}"/>
    <cellStyle name="Comma 2 2 2 3 5 3" xfId="4236" xr:uid="{00000000-0005-0000-0000-000013010000}"/>
    <cellStyle name="Comma 2 2 2 3 5 4" xfId="5673" xr:uid="{00000000-0005-0000-0000-000014010000}"/>
    <cellStyle name="Comma 2 2 2 3 5 5" xfId="7119" xr:uid="{00000000-0005-0000-0000-000015010000}"/>
    <cellStyle name="Comma 2 2 2 3 5 6" xfId="8560" xr:uid="{00000000-0005-0000-0000-000016010000}"/>
    <cellStyle name="Comma 2 2 2 3 5 7" xfId="9993" xr:uid="{00000000-0005-0000-0000-000017010000}"/>
    <cellStyle name="Comma 2 2 2 3 6" xfId="1798" xr:uid="{00000000-0005-0000-0000-000018010000}"/>
    <cellStyle name="Comma 2 2 2 3 7" xfId="3255" xr:uid="{00000000-0005-0000-0000-000019010000}"/>
    <cellStyle name="Comma 2 2 2 3 8" xfId="4692" xr:uid="{00000000-0005-0000-0000-00001A010000}"/>
    <cellStyle name="Comma 2 2 2 3 9" xfId="6138" xr:uid="{00000000-0005-0000-0000-00001B010000}"/>
    <cellStyle name="Comma 2 2 2 4" xfId="353" xr:uid="{00000000-0005-0000-0000-00001C010000}"/>
    <cellStyle name="Comma 2 2 2 4 2" xfId="835" xr:uid="{00000000-0005-0000-0000-00001D010000}"/>
    <cellStyle name="Comma 2 2 2 4 2 2" xfId="2326" xr:uid="{00000000-0005-0000-0000-00001E010000}"/>
    <cellStyle name="Comma 2 2 2 4 2 3" xfId="3777" xr:uid="{00000000-0005-0000-0000-00001F010000}"/>
    <cellStyle name="Comma 2 2 2 4 2 4" xfId="5214" xr:uid="{00000000-0005-0000-0000-000020010000}"/>
    <cellStyle name="Comma 2 2 2 4 2 5" xfId="6660" xr:uid="{00000000-0005-0000-0000-000021010000}"/>
    <cellStyle name="Comma 2 2 2 4 2 6" xfId="8100" xr:uid="{00000000-0005-0000-0000-000022010000}"/>
    <cellStyle name="Comma 2 2 2 4 2 7" xfId="9534" xr:uid="{00000000-0005-0000-0000-000023010000}"/>
    <cellStyle name="Comma 2 2 2 4 3" xfId="1389" xr:uid="{00000000-0005-0000-0000-000024010000}"/>
    <cellStyle name="Comma 2 2 2 4 3 2" xfId="2864" xr:uid="{00000000-0005-0000-0000-000025010000}"/>
    <cellStyle name="Comma 2 2 2 4 3 3" xfId="4301" xr:uid="{00000000-0005-0000-0000-000026010000}"/>
    <cellStyle name="Comma 2 2 2 4 3 4" xfId="5738" xr:uid="{00000000-0005-0000-0000-000027010000}"/>
    <cellStyle name="Comma 2 2 2 4 3 5" xfId="7184" xr:uid="{00000000-0005-0000-0000-000028010000}"/>
    <cellStyle name="Comma 2 2 2 4 3 6" xfId="8625" xr:uid="{00000000-0005-0000-0000-000029010000}"/>
    <cellStyle name="Comma 2 2 2 4 3 7" xfId="10058" xr:uid="{00000000-0005-0000-0000-00002A010000}"/>
    <cellStyle name="Comma 2 2 2 4 4" xfId="1863" xr:uid="{00000000-0005-0000-0000-00002B010000}"/>
    <cellStyle name="Comma 2 2 2 4 5" xfId="3320" xr:uid="{00000000-0005-0000-0000-00002C010000}"/>
    <cellStyle name="Comma 2 2 2 4 6" xfId="4757" xr:uid="{00000000-0005-0000-0000-00002D010000}"/>
    <cellStyle name="Comma 2 2 2 4 7" xfId="6203" xr:uid="{00000000-0005-0000-0000-00002E010000}"/>
    <cellStyle name="Comma 2 2 2 4 8" xfId="7641" xr:uid="{00000000-0005-0000-0000-00002F010000}"/>
    <cellStyle name="Comma 2 2 2 4 9" xfId="9078" xr:uid="{00000000-0005-0000-0000-000030010000}"/>
    <cellStyle name="Comma 2 2 2 5" xfId="492" xr:uid="{00000000-0005-0000-0000-000031010000}"/>
    <cellStyle name="Comma 2 2 2 5 2" xfId="971" xr:uid="{00000000-0005-0000-0000-000032010000}"/>
    <cellStyle name="Comma 2 2 2 5 2 2" xfId="2462" xr:uid="{00000000-0005-0000-0000-000033010000}"/>
    <cellStyle name="Comma 2 2 2 5 2 3" xfId="3909" xr:uid="{00000000-0005-0000-0000-000034010000}"/>
    <cellStyle name="Comma 2 2 2 5 2 4" xfId="5346" xr:uid="{00000000-0005-0000-0000-000035010000}"/>
    <cellStyle name="Comma 2 2 2 5 2 5" xfId="6792" xr:uid="{00000000-0005-0000-0000-000036010000}"/>
    <cellStyle name="Comma 2 2 2 5 2 6" xfId="8232" xr:uid="{00000000-0005-0000-0000-000037010000}"/>
    <cellStyle name="Comma 2 2 2 5 2 7" xfId="9666" xr:uid="{00000000-0005-0000-0000-000038010000}"/>
    <cellStyle name="Comma 2 2 2 5 3" xfId="1523" xr:uid="{00000000-0005-0000-0000-000039010000}"/>
    <cellStyle name="Comma 2 2 2 5 3 2" xfId="2996" xr:uid="{00000000-0005-0000-0000-00003A010000}"/>
    <cellStyle name="Comma 2 2 2 5 3 3" xfId="4433" xr:uid="{00000000-0005-0000-0000-00003B010000}"/>
    <cellStyle name="Comma 2 2 2 5 3 4" xfId="5870" xr:uid="{00000000-0005-0000-0000-00003C010000}"/>
    <cellStyle name="Comma 2 2 2 5 3 5" xfId="7316" xr:uid="{00000000-0005-0000-0000-00003D010000}"/>
    <cellStyle name="Comma 2 2 2 5 3 6" xfId="8757" xr:uid="{00000000-0005-0000-0000-00003E010000}"/>
    <cellStyle name="Comma 2 2 2 5 3 7" xfId="10190" xr:uid="{00000000-0005-0000-0000-00003F010000}"/>
    <cellStyle name="Comma 2 2 2 5 4" xfId="1995" xr:uid="{00000000-0005-0000-0000-000040010000}"/>
    <cellStyle name="Comma 2 2 2 5 5" xfId="3452" xr:uid="{00000000-0005-0000-0000-000041010000}"/>
    <cellStyle name="Comma 2 2 2 5 6" xfId="4889" xr:uid="{00000000-0005-0000-0000-000042010000}"/>
    <cellStyle name="Comma 2 2 2 5 7" xfId="6335" xr:uid="{00000000-0005-0000-0000-000043010000}"/>
    <cellStyle name="Comma 2 2 2 5 8" xfId="7773" xr:uid="{00000000-0005-0000-0000-000044010000}"/>
    <cellStyle name="Comma 2 2 2 5 9" xfId="9210" xr:uid="{00000000-0005-0000-0000-000045010000}"/>
    <cellStyle name="Comma 2 2 2 6" xfId="557" xr:uid="{00000000-0005-0000-0000-000046010000}"/>
    <cellStyle name="Comma 2 2 2 6 2" xfId="1036" xr:uid="{00000000-0005-0000-0000-000047010000}"/>
    <cellStyle name="Comma 2 2 2 6 2 2" xfId="2527" xr:uid="{00000000-0005-0000-0000-000048010000}"/>
    <cellStyle name="Comma 2 2 2 6 2 3" xfId="3974" xr:uid="{00000000-0005-0000-0000-000049010000}"/>
    <cellStyle name="Comma 2 2 2 6 2 4" xfId="5411" xr:uid="{00000000-0005-0000-0000-00004A010000}"/>
    <cellStyle name="Comma 2 2 2 6 2 5" xfId="6857" xr:uid="{00000000-0005-0000-0000-00004B010000}"/>
    <cellStyle name="Comma 2 2 2 6 2 6" xfId="8297" xr:uid="{00000000-0005-0000-0000-00004C010000}"/>
    <cellStyle name="Comma 2 2 2 6 2 7" xfId="9731" xr:uid="{00000000-0005-0000-0000-00004D010000}"/>
    <cellStyle name="Comma 2 2 2 6 3" xfId="1588" xr:uid="{00000000-0005-0000-0000-00004E010000}"/>
    <cellStyle name="Comma 2 2 2 6 3 2" xfId="3061" xr:uid="{00000000-0005-0000-0000-00004F010000}"/>
    <cellStyle name="Comma 2 2 2 6 3 3" xfId="4498" xr:uid="{00000000-0005-0000-0000-000050010000}"/>
    <cellStyle name="Comma 2 2 2 6 3 4" xfId="5935" xr:uid="{00000000-0005-0000-0000-000051010000}"/>
    <cellStyle name="Comma 2 2 2 6 3 5" xfId="7381" xr:uid="{00000000-0005-0000-0000-000052010000}"/>
    <cellStyle name="Comma 2 2 2 6 3 6" xfId="8822" xr:uid="{00000000-0005-0000-0000-000053010000}"/>
    <cellStyle name="Comma 2 2 2 6 3 7" xfId="10255" xr:uid="{00000000-0005-0000-0000-000054010000}"/>
    <cellStyle name="Comma 2 2 2 6 4" xfId="2060" xr:uid="{00000000-0005-0000-0000-000055010000}"/>
    <cellStyle name="Comma 2 2 2 6 5" xfId="3517" xr:uid="{00000000-0005-0000-0000-000056010000}"/>
    <cellStyle name="Comma 2 2 2 6 6" xfId="4954" xr:uid="{00000000-0005-0000-0000-000057010000}"/>
    <cellStyle name="Comma 2 2 2 6 7" xfId="6400" xr:uid="{00000000-0005-0000-0000-000058010000}"/>
    <cellStyle name="Comma 2 2 2 6 8" xfId="7838" xr:uid="{00000000-0005-0000-0000-000059010000}"/>
    <cellStyle name="Comma 2 2 2 6 9" xfId="9274" xr:uid="{00000000-0005-0000-0000-00005A010000}"/>
    <cellStyle name="Comma 2 2 2 7" xfId="699" xr:uid="{00000000-0005-0000-0000-00005B010000}"/>
    <cellStyle name="Comma 2 2 2 7 2" xfId="2190" xr:uid="{00000000-0005-0000-0000-00005C010000}"/>
    <cellStyle name="Comma 2 2 2 7 3" xfId="3647" xr:uid="{00000000-0005-0000-0000-00005D010000}"/>
    <cellStyle name="Comma 2 2 2 7 4" xfId="5084" xr:uid="{00000000-0005-0000-0000-00005E010000}"/>
    <cellStyle name="Comma 2 2 2 7 5" xfId="6530" xr:uid="{00000000-0005-0000-0000-00005F010000}"/>
    <cellStyle name="Comma 2 2 2 7 6" xfId="7969" xr:uid="{00000000-0005-0000-0000-000060010000}"/>
    <cellStyle name="Comma 2 2 2 7 7" xfId="9404" xr:uid="{00000000-0005-0000-0000-000061010000}"/>
    <cellStyle name="Comma 2 2 2 8" xfId="1190" xr:uid="{00000000-0005-0000-0000-000062010000}"/>
    <cellStyle name="Comma 2 2 2 8 2" xfId="2669" xr:uid="{00000000-0005-0000-0000-000063010000}"/>
    <cellStyle name="Comma 2 2 2 8 3" xfId="4106" xr:uid="{00000000-0005-0000-0000-000064010000}"/>
    <cellStyle name="Comma 2 2 2 8 4" xfId="5543" xr:uid="{00000000-0005-0000-0000-000065010000}"/>
    <cellStyle name="Comma 2 2 2 8 5" xfId="6989" xr:uid="{00000000-0005-0000-0000-000066010000}"/>
    <cellStyle name="Comma 2 2 2 8 6" xfId="8430" xr:uid="{00000000-0005-0000-0000-000067010000}"/>
    <cellStyle name="Comma 2 2 2 8 7" xfId="9863" xr:uid="{00000000-0005-0000-0000-000068010000}"/>
    <cellStyle name="Comma 2 2 2 9" xfId="1255" xr:uid="{00000000-0005-0000-0000-000069010000}"/>
    <cellStyle name="Comma 2 2 2 9 2" xfId="2734" xr:uid="{00000000-0005-0000-0000-00006A010000}"/>
    <cellStyle name="Comma 2 2 2 9 3" xfId="4171" xr:uid="{00000000-0005-0000-0000-00006B010000}"/>
    <cellStyle name="Comma 2 2 2 9 4" xfId="5608" xr:uid="{00000000-0005-0000-0000-00006C010000}"/>
    <cellStyle name="Comma 2 2 2 9 5" xfId="7054" xr:uid="{00000000-0005-0000-0000-00006D010000}"/>
    <cellStyle name="Comma 2 2 2 9 6" xfId="8495" xr:uid="{00000000-0005-0000-0000-00006E010000}"/>
    <cellStyle name="Comma 2 2 2 9 7" xfId="9928" xr:uid="{00000000-0005-0000-0000-00006F010000}"/>
    <cellStyle name="Comma 2 2 3" xfId="231" xr:uid="{00000000-0005-0000-0000-000070010000}"/>
    <cellStyle name="Comma 2 2 3 10" xfId="3206" xr:uid="{00000000-0005-0000-0000-000071010000}"/>
    <cellStyle name="Comma 2 2 3 11" xfId="4643" xr:uid="{00000000-0005-0000-0000-000072010000}"/>
    <cellStyle name="Comma 2 2 3 12" xfId="6089" xr:uid="{00000000-0005-0000-0000-000073010000}"/>
    <cellStyle name="Comma 2 2 3 13" xfId="7527" xr:uid="{00000000-0005-0000-0000-000074010000}"/>
    <cellStyle name="Comma 2 2 3 14" xfId="8967" xr:uid="{00000000-0005-0000-0000-000075010000}"/>
    <cellStyle name="Comma 2 2 3 2" xfId="300" xr:uid="{00000000-0005-0000-0000-000076010000}"/>
    <cellStyle name="Comma 2 2 3 2 10" xfId="7592" xr:uid="{00000000-0005-0000-0000-000077010000}"/>
    <cellStyle name="Comma 2 2 3 2 11" xfId="9031" xr:uid="{00000000-0005-0000-0000-000078010000}"/>
    <cellStyle name="Comma 2 2 3 2 2" xfId="438" xr:uid="{00000000-0005-0000-0000-000079010000}"/>
    <cellStyle name="Comma 2 2 3 2 2 2" xfId="920" xr:uid="{00000000-0005-0000-0000-00007A010000}"/>
    <cellStyle name="Comma 2 2 3 2 2 2 2" xfId="2411" xr:uid="{00000000-0005-0000-0000-00007B010000}"/>
    <cellStyle name="Comma 2 2 3 2 2 2 3" xfId="3858" xr:uid="{00000000-0005-0000-0000-00007C010000}"/>
    <cellStyle name="Comma 2 2 3 2 2 2 4" xfId="5295" xr:uid="{00000000-0005-0000-0000-00007D010000}"/>
    <cellStyle name="Comma 2 2 3 2 2 2 5" xfId="6741" xr:uid="{00000000-0005-0000-0000-00007E010000}"/>
    <cellStyle name="Comma 2 2 3 2 2 2 6" xfId="8181" xr:uid="{00000000-0005-0000-0000-00007F010000}"/>
    <cellStyle name="Comma 2 2 3 2 2 2 7" xfId="9615" xr:uid="{00000000-0005-0000-0000-000080010000}"/>
    <cellStyle name="Comma 2 2 3 2 2 3" xfId="1472" xr:uid="{00000000-0005-0000-0000-000081010000}"/>
    <cellStyle name="Comma 2 2 3 2 2 3 2" xfId="2945" xr:uid="{00000000-0005-0000-0000-000082010000}"/>
    <cellStyle name="Comma 2 2 3 2 2 3 3" xfId="4382" xr:uid="{00000000-0005-0000-0000-000083010000}"/>
    <cellStyle name="Comma 2 2 3 2 2 3 4" xfId="5819" xr:uid="{00000000-0005-0000-0000-000084010000}"/>
    <cellStyle name="Comma 2 2 3 2 2 3 5" xfId="7265" xr:uid="{00000000-0005-0000-0000-000085010000}"/>
    <cellStyle name="Comma 2 2 3 2 2 3 6" xfId="8706" xr:uid="{00000000-0005-0000-0000-000086010000}"/>
    <cellStyle name="Comma 2 2 3 2 2 3 7" xfId="10139" xr:uid="{00000000-0005-0000-0000-000087010000}"/>
    <cellStyle name="Comma 2 2 3 2 2 4" xfId="1944" xr:uid="{00000000-0005-0000-0000-000088010000}"/>
    <cellStyle name="Comma 2 2 3 2 2 5" xfId="3401" xr:uid="{00000000-0005-0000-0000-000089010000}"/>
    <cellStyle name="Comma 2 2 3 2 2 6" xfId="4838" xr:uid="{00000000-0005-0000-0000-00008A010000}"/>
    <cellStyle name="Comma 2 2 3 2 2 7" xfId="6284" xr:uid="{00000000-0005-0000-0000-00008B010000}"/>
    <cellStyle name="Comma 2 2 3 2 2 8" xfId="7722" xr:uid="{00000000-0005-0000-0000-00008C010000}"/>
    <cellStyle name="Comma 2 2 3 2 2 9" xfId="9159" xr:uid="{00000000-0005-0000-0000-00008D010000}"/>
    <cellStyle name="Comma 2 2 3 2 3" xfId="642" xr:uid="{00000000-0005-0000-0000-00008E010000}"/>
    <cellStyle name="Comma 2 2 3 2 3 2" xfId="1121" xr:uid="{00000000-0005-0000-0000-00008F010000}"/>
    <cellStyle name="Comma 2 2 3 2 3 2 2" xfId="2612" xr:uid="{00000000-0005-0000-0000-000090010000}"/>
    <cellStyle name="Comma 2 2 3 2 3 2 3" xfId="4055" xr:uid="{00000000-0005-0000-0000-000091010000}"/>
    <cellStyle name="Comma 2 2 3 2 3 2 4" xfId="5492" xr:uid="{00000000-0005-0000-0000-000092010000}"/>
    <cellStyle name="Comma 2 2 3 2 3 2 5" xfId="6938" xr:uid="{00000000-0005-0000-0000-000093010000}"/>
    <cellStyle name="Comma 2 2 3 2 3 2 6" xfId="8378" xr:uid="{00000000-0005-0000-0000-000094010000}"/>
    <cellStyle name="Comma 2 2 3 2 3 2 7" xfId="9812" xr:uid="{00000000-0005-0000-0000-000095010000}"/>
    <cellStyle name="Comma 2 2 3 2 3 3" xfId="1671" xr:uid="{00000000-0005-0000-0000-000096010000}"/>
    <cellStyle name="Comma 2 2 3 2 3 3 2" xfId="3142" xr:uid="{00000000-0005-0000-0000-000097010000}"/>
    <cellStyle name="Comma 2 2 3 2 3 3 3" xfId="4579" xr:uid="{00000000-0005-0000-0000-000098010000}"/>
    <cellStyle name="Comma 2 2 3 2 3 3 4" xfId="6016" xr:uid="{00000000-0005-0000-0000-000099010000}"/>
    <cellStyle name="Comma 2 2 3 2 3 3 5" xfId="7462" xr:uid="{00000000-0005-0000-0000-00009A010000}"/>
    <cellStyle name="Comma 2 2 3 2 3 3 6" xfId="8903" xr:uid="{00000000-0005-0000-0000-00009B010000}"/>
    <cellStyle name="Comma 2 2 3 2 3 3 7" xfId="10336" xr:uid="{00000000-0005-0000-0000-00009C010000}"/>
    <cellStyle name="Comma 2 2 3 2 3 4" xfId="2141" xr:uid="{00000000-0005-0000-0000-00009D010000}"/>
    <cellStyle name="Comma 2 2 3 2 3 5" xfId="3598" xr:uid="{00000000-0005-0000-0000-00009E010000}"/>
    <cellStyle name="Comma 2 2 3 2 3 6" xfId="5035" xr:uid="{00000000-0005-0000-0000-00009F010000}"/>
    <cellStyle name="Comma 2 2 3 2 3 7" xfId="6481" xr:uid="{00000000-0005-0000-0000-0000A0010000}"/>
    <cellStyle name="Comma 2 2 3 2 3 8" xfId="7920" xr:uid="{00000000-0005-0000-0000-0000A1010000}"/>
    <cellStyle name="Comma 2 2 3 2 3 9" xfId="9355" xr:uid="{00000000-0005-0000-0000-0000A2010000}"/>
    <cellStyle name="Comma 2 2 3 2 4" xfId="784" xr:uid="{00000000-0005-0000-0000-0000A3010000}"/>
    <cellStyle name="Comma 2 2 3 2 4 2" xfId="2275" xr:uid="{00000000-0005-0000-0000-0000A4010000}"/>
    <cellStyle name="Comma 2 2 3 2 4 3" xfId="3728" xr:uid="{00000000-0005-0000-0000-0000A5010000}"/>
    <cellStyle name="Comma 2 2 3 2 4 4" xfId="5165" xr:uid="{00000000-0005-0000-0000-0000A6010000}"/>
    <cellStyle name="Comma 2 2 3 2 4 5" xfId="6611" xr:uid="{00000000-0005-0000-0000-0000A7010000}"/>
    <cellStyle name="Comma 2 2 3 2 4 6" xfId="8051" xr:uid="{00000000-0005-0000-0000-0000A8010000}"/>
    <cellStyle name="Comma 2 2 3 2 4 7" xfId="9485" xr:uid="{00000000-0005-0000-0000-0000A9010000}"/>
    <cellStyle name="Comma 2 2 3 2 5" xfId="1340" xr:uid="{00000000-0005-0000-0000-0000AA010000}"/>
    <cellStyle name="Comma 2 2 3 2 5 2" xfId="2815" xr:uid="{00000000-0005-0000-0000-0000AB010000}"/>
    <cellStyle name="Comma 2 2 3 2 5 3" xfId="4252" xr:uid="{00000000-0005-0000-0000-0000AC010000}"/>
    <cellStyle name="Comma 2 2 3 2 5 4" xfId="5689" xr:uid="{00000000-0005-0000-0000-0000AD010000}"/>
    <cellStyle name="Comma 2 2 3 2 5 5" xfId="7135" xr:uid="{00000000-0005-0000-0000-0000AE010000}"/>
    <cellStyle name="Comma 2 2 3 2 5 6" xfId="8576" xr:uid="{00000000-0005-0000-0000-0000AF010000}"/>
    <cellStyle name="Comma 2 2 3 2 5 7" xfId="10009" xr:uid="{00000000-0005-0000-0000-0000B0010000}"/>
    <cellStyle name="Comma 2 2 3 2 6" xfId="1814" xr:uid="{00000000-0005-0000-0000-0000B1010000}"/>
    <cellStyle name="Comma 2 2 3 2 7" xfId="3271" xr:uid="{00000000-0005-0000-0000-0000B2010000}"/>
    <cellStyle name="Comma 2 2 3 2 8" xfId="4708" xr:uid="{00000000-0005-0000-0000-0000B3010000}"/>
    <cellStyle name="Comma 2 2 3 2 9" xfId="6154" xr:uid="{00000000-0005-0000-0000-0000B4010000}"/>
    <cellStyle name="Comma 2 2 3 3" xfId="369" xr:uid="{00000000-0005-0000-0000-0000B5010000}"/>
    <cellStyle name="Comma 2 2 3 3 2" xfId="851" xr:uid="{00000000-0005-0000-0000-0000B6010000}"/>
    <cellStyle name="Comma 2 2 3 3 2 2" xfId="2342" xr:uid="{00000000-0005-0000-0000-0000B7010000}"/>
    <cellStyle name="Comma 2 2 3 3 2 3" xfId="3793" xr:uid="{00000000-0005-0000-0000-0000B8010000}"/>
    <cellStyle name="Comma 2 2 3 3 2 4" xfId="5230" xr:uid="{00000000-0005-0000-0000-0000B9010000}"/>
    <cellStyle name="Comma 2 2 3 3 2 5" xfId="6676" xr:uid="{00000000-0005-0000-0000-0000BA010000}"/>
    <cellStyle name="Comma 2 2 3 3 2 6" xfId="8116" xr:uid="{00000000-0005-0000-0000-0000BB010000}"/>
    <cellStyle name="Comma 2 2 3 3 2 7" xfId="9550" xr:uid="{00000000-0005-0000-0000-0000BC010000}"/>
    <cellStyle name="Comma 2 2 3 3 3" xfId="1405" xr:uid="{00000000-0005-0000-0000-0000BD010000}"/>
    <cellStyle name="Comma 2 2 3 3 3 2" xfId="2880" xr:uid="{00000000-0005-0000-0000-0000BE010000}"/>
    <cellStyle name="Comma 2 2 3 3 3 3" xfId="4317" xr:uid="{00000000-0005-0000-0000-0000BF010000}"/>
    <cellStyle name="Comma 2 2 3 3 3 4" xfId="5754" xr:uid="{00000000-0005-0000-0000-0000C0010000}"/>
    <cellStyle name="Comma 2 2 3 3 3 5" xfId="7200" xr:uid="{00000000-0005-0000-0000-0000C1010000}"/>
    <cellStyle name="Comma 2 2 3 3 3 6" xfId="8641" xr:uid="{00000000-0005-0000-0000-0000C2010000}"/>
    <cellStyle name="Comma 2 2 3 3 3 7" xfId="10074" xr:uid="{00000000-0005-0000-0000-0000C3010000}"/>
    <cellStyle name="Comma 2 2 3 3 4" xfId="1879" xr:uid="{00000000-0005-0000-0000-0000C4010000}"/>
    <cellStyle name="Comma 2 2 3 3 5" xfId="3336" xr:uid="{00000000-0005-0000-0000-0000C5010000}"/>
    <cellStyle name="Comma 2 2 3 3 6" xfId="4773" xr:uid="{00000000-0005-0000-0000-0000C6010000}"/>
    <cellStyle name="Comma 2 2 3 3 7" xfId="6219" xr:uid="{00000000-0005-0000-0000-0000C7010000}"/>
    <cellStyle name="Comma 2 2 3 3 8" xfId="7657" xr:uid="{00000000-0005-0000-0000-0000C8010000}"/>
    <cellStyle name="Comma 2 2 3 3 9" xfId="9094" xr:uid="{00000000-0005-0000-0000-0000C9010000}"/>
    <cellStyle name="Comma 2 2 3 4" xfId="508" xr:uid="{00000000-0005-0000-0000-0000CA010000}"/>
    <cellStyle name="Comma 2 2 3 4 2" xfId="987" xr:uid="{00000000-0005-0000-0000-0000CB010000}"/>
    <cellStyle name="Comma 2 2 3 4 2 2" xfId="2478" xr:uid="{00000000-0005-0000-0000-0000CC010000}"/>
    <cellStyle name="Comma 2 2 3 4 2 3" xfId="3925" xr:uid="{00000000-0005-0000-0000-0000CD010000}"/>
    <cellStyle name="Comma 2 2 3 4 2 4" xfId="5362" xr:uid="{00000000-0005-0000-0000-0000CE010000}"/>
    <cellStyle name="Comma 2 2 3 4 2 5" xfId="6808" xr:uid="{00000000-0005-0000-0000-0000CF010000}"/>
    <cellStyle name="Comma 2 2 3 4 2 6" xfId="8248" xr:uid="{00000000-0005-0000-0000-0000D0010000}"/>
    <cellStyle name="Comma 2 2 3 4 2 7" xfId="9682" xr:uid="{00000000-0005-0000-0000-0000D1010000}"/>
    <cellStyle name="Comma 2 2 3 4 3" xfId="1539" xr:uid="{00000000-0005-0000-0000-0000D2010000}"/>
    <cellStyle name="Comma 2 2 3 4 3 2" xfId="3012" xr:uid="{00000000-0005-0000-0000-0000D3010000}"/>
    <cellStyle name="Comma 2 2 3 4 3 3" xfId="4449" xr:uid="{00000000-0005-0000-0000-0000D4010000}"/>
    <cellStyle name="Comma 2 2 3 4 3 4" xfId="5886" xr:uid="{00000000-0005-0000-0000-0000D5010000}"/>
    <cellStyle name="Comma 2 2 3 4 3 5" xfId="7332" xr:uid="{00000000-0005-0000-0000-0000D6010000}"/>
    <cellStyle name="Comma 2 2 3 4 3 6" xfId="8773" xr:uid="{00000000-0005-0000-0000-0000D7010000}"/>
    <cellStyle name="Comma 2 2 3 4 3 7" xfId="10206" xr:uid="{00000000-0005-0000-0000-0000D8010000}"/>
    <cellStyle name="Comma 2 2 3 4 4" xfId="2011" xr:uid="{00000000-0005-0000-0000-0000D9010000}"/>
    <cellStyle name="Comma 2 2 3 4 5" xfId="3468" xr:uid="{00000000-0005-0000-0000-0000DA010000}"/>
    <cellStyle name="Comma 2 2 3 4 6" xfId="4905" xr:uid="{00000000-0005-0000-0000-0000DB010000}"/>
    <cellStyle name="Comma 2 2 3 4 7" xfId="6351" xr:uid="{00000000-0005-0000-0000-0000DC010000}"/>
    <cellStyle name="Comma 2 2 3 4 8" xfId="7789" xr:uid="{00000000-0005-0000-0000-0000DD010000}"/>
    <cellStyle name="Comma 2 2 3 4 9" xfId="9226" xr:uid="{00000000-0005-0000-0000-0000DE010000}"/>
    <cellStyle name="Comma 2 2 3 5" xfId="573" xr:uid="{00000000-0005-0000-0000-0000DF010000}"/>
    <cellStyle name="Comma 2 2 3 5 2" xfId="1052" xr:uid="{00000000-0005-0000-0000-0000E0010000}"/>
    <cellStyle name="Comma 2 2 3 5 2 2" xfId="2543" xr:uid="{00000000-0005-0000-0000-0000E1010000}"/>
    <cellStyle name="Comma 2 2 3 5 2 3" xfId="3990" xr:uid="{00000000-0005-0000-0000-0000E2010000}"/>
    <cellStyle name="Comma 2 2 3 5 2 4" xfId="5427" xr:uid="{00000000-0005-0000-0000-0000E3010000}"/>
    <cellStyle name="Comma 2 2 3 5 2 5" xfId="6873" xr:uid="{00000000-0005-0000-0000-0000E4010000}"/>
    <cellStyle name="Comma 2 2 3 5 2 6" xfId="8313" xr:uid="{00000000-0005-0000-0000-0000E5010000}"/>
    <cellStyle name="Comma 2 2 3 5 2 7" xfId="9747" xr:uid="{00000000-0005-0000-0000-0000E6010000}"/>
    <cellStyle name="Comma 2 2 3 5 3" xfId="1604" xr:uid="{00000000-0005-0000-0000-0000E7010000}"/>
    <cellStyle name="Comma 2 2 3 5 3 2" xfId="3077" xr:uid="{00000000-0005-0000-0000-0000E8010000}"/>
    <cellStyle name="Comma 2 2 3 5 3 3" xfId="4514" xr:uid="{00000000-0005-0000-0000-0000E9010000}"/>
    <cellStyle name="Comma 2 2 3 5 3 4" xfId="5951" xr:uid="{00000000-0005-0000-0000-0000EA010000}"/>
    <cellStyle name="Comma 2 2 3 5 3 5" xfId="7397" xr:uid="{00000000-0005-0000-0000-0000EB010000}"/>
    <cellStyle name="Comma 2 2 3 5 3 6" xfId="8838" xr:uid="{00000000-0005-0000-0000-0000EC010000}"/>
    <cellStyle name="Comma 2 2 3 5 3 7" xfId="10271" xr:uid="{00000000-0005-0000-0000-0000ED010000}"/>
    <cellStyle name="Comma 2 2 3 5 4" xfId="2076" xr:uid="{00000000-0005-0000-0000-0000EE010000}"/>
    <cellStyle name="Comma 2 2 3 5 5" xfId="3533" xr:uid="{00000000-0005-0000-0000-0000EF010000}"/>
    <cellStyle name="Comma 2 2 3 5 6" xfId="4970" xr:uid="{00000000-0005-0000-0000-0000F0010000}"/>
    <cellStyle name="Comma 2 2 3 5 7" xfId="6416" xr:uid="{00000000-0005-0000-0000-0000F1010000}"/>
    <cellStyle name="Comma 2 2 3 5 8" xfId="7854" xr:uid="{00000000-0005-0000-0000-0000F2010000}"/>
    <cellStyle name="Comma 2 2 3 5 9" xfId="9290" xr:uid="{00000000-0005-0000-0000-0000F3010000}"/>
    <cellStyle name="Comma 2 2 3 6" xfId="715" xr:uid="{00000000-0005-0000-0000-0000F4010000}"/>
    <cellStyle name="Comma 2 2 3 6 2" xfId="2206" xr:uid="{00000000-0005-0000-0000-0000F5010000}"/>
    <cellStyle name="Comma 2 2 3 6 3" xfId="3663" xr:uid="{00000000-0005-0000-0000-0000F6010000}"/>
    <cellStyle name="Comma 2 2 3 6 4" xfId="5100" xr:uid="{00000000-0005-0000-0000-0000F7010000}"/>
    <cellStyle name="Comma 2 2 3 6 5" xfId="6546" xr:uid="{00000000-0005-0000-0000-0000F8010000}"/>
    <cellStyle name="Comma 2 2 3 6 6" xfId="7985" xr:uid="{00000000-0005-0000-0000-0000F9010000}"/>
    <cellStyle name="Comma 2 2 3 6 7" xfId="9420" xr:uid="{00000000-0005-0000-0000-0000FA010000}"/>
    <cellStyle name="Comma 2 2 3 7" xfId="1206" xr:uid="{00000000-0005-0000-0000-0000FB010000}"/>
    <cellStyle name="Comma 2 2 3 7 2" xfId="2685" xr:uid="{00000000-0005-0000-0000-0000FC010000}"/>
    <cellStyle name="Comma 2 2 3 7 3" xfId="4122" xr:uid="{00000000-0005-0000-0000-0000FD010000}"/>
    <cellStyle name="Comma 2 2 3 7 4" xfId="5559" xr:uid="{00000000-0005-0000-0000-0000FE010000}"/>
    <cellStyle name="Comma 2 2 3 7 5" xfId="7005" xr:uid="{00000000-0005-0000-0000-0000FF010000}"/>
    <cellStyle name="Comma 2 2 3 7 6" xfId="8446" xr:uid="{00000000-0005-0000-0000-000000020000}"/>
    <cellStyle name="Comma 2 2 3 7 7" xfId="9879" xr:uid="{00000000-0005-0000-0000-000001020000}"/>
    <cellStyle name="Comma 2 2 3 8" xfId="1271" xr:uid="{00000000-0005-0000-0000-000002020000}"/>
    <cellStyle name="Comma 2 2 3 8 2" xfId="2750" xr:uid="{00000000-0005-0000-0000-000003020000}"/>
    <cellStyle name="Comma 2 2 3 8 3" xfId="4187" xr:uid="{00000000-0005-0000-0000-000004020000}"/>
    <cellStyle name="Comma 2 2 3 8 4" xfId="5624" xr:uid="{00000000-0005-0000-0000-000005020000}"/>
    <cellStyle name="Comma 2 2 3 8 5" xfId="7070" xr:uid="{00000000-0005-0000-0000-000006020000}"/>
    <cellStyle name="Comma 2 2 3 8 6" xfId="8511" xr:uid="{00000000-0005-0000-0000-000007020000}"/>
    <cellStyle name="Comma 2 2 3 8 7" xfId="9944" xr:uid="{00000000-0005-0000-0000-000008020000}"/>
    <cellStyle name="Comma 2 2 3 9" xfId="1749" xr:uid="{00000000-0005-0000-0000-000009020000}"/>
    <cellStyle name="Comma 2 2 4" xfId="268" xr:uid="{00000000-0005-0000-0000-00000A020000}"/>
    <cellStyle name="Comma 2 2 4 10" xfId="7558" xr:uid="{00000000-0005-0000-0000-00000B020000}"/>
    <cellStyle name="Comma 2 2 4 11" xfId="8997" xr:uid="{00000000-0005-0000-0000-00000C020000}"/>
    <cellStyle name="Comma 2 2 4 2" xfId="404" xr:uid="{00000000-0005-0000-0000-00000D020000}"/>
    <cellStyle name="Comma 2 2 4 2 2" xfId="886" xr:uid="{00000000-0005-0000-0000-00000E020000}"/>
    <cellStyle name="Comma 2 2 4 2 2 2" xfId="2377" xr:uid="{00000000-0005-0000-0000-00000F020000}"/>
    <cellStyle name="Comma 2 2 4 2 2 3" xfId="3824" xr:uid="{00000000-0005-0000-0000-000010020000}"/>
    <cellStyle name="Comma 2 2 4 2 2 4" xfId="5261" xr:uid="{00000000-0005-0000-0000-000011020000}"/>
    <cellStyle name="Comma 2 2 4 2 2 5" xfId="6707" xr:uid="{00000000-0005-0000-0000-000012020000}"/>
    <cellStyle name="Comma 2 2 4 2 2 6" xfId="8147" xr:uid="{00000000-0005-0000-0000-000013020000}"/>
    <cellStyle name="Comma 2 2 4 2 2 7" xfId="9581" xr:uid="{00000000-0005-0000-0000-000014020000}"/>
    <cellStyle name="Comma 2 2 4 2 3" xfId="1438" xr:uid="{00000000-0005-0000-0000-000015020000}"/>
    <cellStyle name="Comma 2 2 4 2 3 2" xfId="2911" xr:uid="{00000000-0005-0000-0000-000016020000}"/>
    <cellStyle name="Comma 2 2 4 2 3 3" xfId="4348" xr:uid="{00000000-0005-0000-0000-000017020000}"/>
    <cellStyle name="Comma 2 2 4 2 3 4" xfId="5785" xr:uid="{00000000-0005-0000-0000-000018020000}"/>
    <cellStyle name="Comma 2 2 4 2 3 5" xfId="7231" xr:uid="{00000000-0005-0000-0000-000019020000}"/>
    <cellStyle name="Comma 2 2 4 2 3 6" xfId="8672" xr:uid="{00000000-0005-0000-0000-00001A020000}"/>
    <cellStyle name="Comma 2 2 4 2 3 7" xfId="10105" xr:uid="{00000000-0005-0000-0000-00001B020000}"/>
    <cellStyle name="Comma 2 2 4 2 4" xfId="1910" xr:uid="{00000000-0005-0000-0000-00001C020000}"/>
    <cellStyle name="Comma 2 2 4 2 5" xfId="3367" xr:uid="{00000000-0005-0000-0000-00001D020000}"/>
    <cellStyle name="Comma 2 2 4 2 6" xfId="4804" xr:uid="{00000000-0005-0000-0000-00001E020000}"/>
    <cellStyle name="Comma 2 2 4 2 7" xfId="6250" xr:uid="{00000000-0005-0000-0000-00001F020000}"/>
    <cellStyle name="Comma 2 2 4 2 8" xfId="7688" xr:uid="{00000000-0005-0000-0000-000020020000}"/>
    <cellStyle name="Comma 2 2 4 2 9" xfId="9125" xr:uid="{00000000-0005-0000-0000-000021020000}"/>
    <cellStyle name="Comma 2 2 4 3" xfId="608" xr:uid="{00000000-0005-0000-0000-000022020000}"/>
    <cellStyle name="Comma 2 2 4 3 2" xfId="1087" xr:uid="{00000000-0005-0000-0000-000023020000}"/>
    <cellStyle name="Comma 2 2 4 3 2 2" xfId="2578" xr:uid="{00000000-0005-0000-0000-000024020000}"/>
    <cellStyle name="Comma 2 2 4 3 2 3" xfId="4021" xr:uid="{00000000-0005-0000-0000-000025020000}"/>
    <cellStyle name="Comma 2 2 4 3 2 4" xfId="5458" xr:uid="{00000000-0005-0000-0000-000026020000}"/>
    <cellStyle name="Comma 2 2 4 3 2 5" xfId="6904" xr:uid="{00000000-0005-0000-0000-000027020000}"/>
    <cellStyle name="Comma 2 2 4 3 2 6" xfId="8344" xr:uid="{00000000-0005-0000-0000-000028020000}"/>
    <cellStyle name="Comma 2 2 4 3 2 7" xfId="9778" xr:uid="{00000000-0005-0000-0000-000029020000}"/>
    <cellStyle name="Comma 2 2 4 3 3" xfId="1637" xr:uid="{00000000-0005-0000-0000-00002A020000}"/>
    <cellStyle name="Comma 2 2 4 3 3 2" xfId="3108" xr:uid="{00000000-0005-0000-0000-00002B020000}"/>
    <cellStyle name="Comma 2 2 4 3 3 3" xfId="4545" xr:uid="{00000000-0005-0000-0000-00002C020000}"/>
    <cellStyle name="Comma 2 2 4 3 3 4" xfId="5982" xr:uid="{00000000-0005-0000-0000-00002D020000}"/>
    <cellStyle name="Comma 2 2 4 3 3 5" xfId="7428" xr:uid="{00000000-0005-0000-0000-00002E020000}"/>
    <cellStyle name="Comma 2 2 4 3 3 6" xfId="8869" xr:uid="{00000000-0005-0000-0000-00002F020000}"/>
    <cellStyle name="Comma 2 2 4 3 3 7" xfId="10302" xr:uid="{00000000-0005-0000-0000-000030020000}"/>
    <cellStyle name="Comma 2 2 4 3 4" xfId="2107" xr:uid="{00000000-0005-0000-0000-000031020000}"/>
    <cellStyle name="Comma 2 2 4 3 5" xfId="3564" xr:uid="{00000000-0005-0000-0000-000032020000}"/>
    <cellStyle name="Comma 2 2 4 3 6" xfId="5001" xr:uid="{00000000-0005-0000-0000-000033020000}"/>
    <cellStyle name="Comma 2 2 4 3 7" xfId="6447" xr:uid="{00000000-0005-0000-0000-000034020000}"/>
    <cellStyle name="Comma 2 2 4 3 8" xfId="7886" xr:uid="{00000000-0005-0000-0000-000035020000}"/>
    <cellStyle name="Comma 2 2 4 3 9" xfId="9321" xr:uid="{00000000-0005-0000-0000-000036020000}"/>
    <cellStyle name="Comma 2 2 4 4" xfId="750" xr:uid="{00000000-0005-0000-0000-000037020000}"/>
    <cellStyle name="Comma 2 2 4 4 2" xfId="2241" xr:uid="{00000000-0005-0000-0000-000038020000}"/>
    <cellStyle name="Comma 2 2 4 4 3" xfId="3694" xr:uid="{00000000-0005-0000-0000-000039020000}"/>
    <cellStyle name="Comma 2 2 4 4 4" xfId="5131" xr:uid="{00000000-0005-0000-0000-00003A020000}"/>
    <cellStyle name="Comma 2 2 4 4 5" xfId="6577" xr:uid="{00000000-0005-0000-0000-00003B020000}"/>
    <cellStyle name="Comma 2 2 4 4 6" xfId="8017" xr:uid="{00000000-0005-0000-0000-00003C020000}"/>
    <cellStyle name="Comma 2 2 4 4 7" xfId="9451" xr:uid="{00000000-0005-0000-0000-00003D020000}"/>
    <cellStyle name="Comma 2 2 4 5" xfId="1306" xr:uid="{00000000-0005-0000-0000-00003E020000}"/>
    <cellStyle name="Comma 2 2 4 5 2" xfId="2781" xr:uid="{00000000-0005-0000-0000-00003F020000}"/>
    <cellStyle name="Comma 2 2 4 5 3" xfId="4218" xr:uid="{00000000-0005-0000-0000-000040020000}"/>
    <cellStyle name="Comma 2 2 4 5 4" xfId="5655" xr:uid="{00000000-0005-0000-0000-000041020000}"/>
    <cellStyle name="Comma 2 2 4 5 5" xfId="7101" xr:uid="{00000000-0005-0000-0000-000042020000}"/>
    <cellStyle name="Comma 2 2 4 5 6" xfId="8542" xr:uid="{00000000-0005-0000-0000-000043020000}"/>
    <cellStyle name="Comma 2 2 4 5 7" xfId="9975" xr:uid="{00000000-0005-0000-0000-000044020000}"/>
    <cellStyle name="Comma 2 2 4 6" xfId="1780" xr:uid="{00000000-0005-0000-0000-000045020000}"/>
    <cellStyle name="Comma 2 2 4 7" xfId="3237" xr:uid="{00000000-0005-0000-0000-000046020000}"/>
    <cellStyle name="Comma 2 2 4 8" xfId="4674" xr:uid="{00000000-0005-0000-0000-000047020000}"/>
    <cellStyle name="Comma 2 2 4 9" xfId="6120" xr:uid="{00000000-0005-0000-0000-000048020000}"/>
    <cellStyle name="Comma 2 2 5" xfId="335" xr:uid="{00000000-0005-0000-0000-000049020000}"/>
    <cellStyle name="Comma 2 2 5 2" xfId="817" xr:uid="{00000000-0005-0000-0000-00004A020000}"/>
    <cellStyle name="Comma 2 2 5 2 2" xfId="2308" xr:uid="{00000000-0005-0000-0000-00004B020000}"/>
    <cellStyle name="Comma 2 2 5 2 3" xfId="3759" xr:uid="{00000000-0005-0000-0000-00004C020000}"/>
    <cellStyle name="Comma 2 2 5 2 4" xfId="5196" xr:uid="{00000000-0005-0000-0000-00004D020000}"/>
    <cellStyle name="Comma 2 2 5 2 5" xfId="6642" xr:uid="{00000000-0005-0000-0000-00004E020000}"/>
    <cellStyle name="Comma 2 2 5 2 6" xfId="8082" xr:uid="{00000000-0005-0000-0000-00004F020000}"/>
    <cellStyle name="Comma 2 2 5 2 7" xfId="9516" xr:uid="{00000000-0005-0000-0000-000050020000}"/>
    <cellStyle name="Comma 2 2 5 3" xfId="1371" xr:uid="{00000000-0005-0000-0000-000051020000}"/>
    <cellStyle name="Comma 2 2 5 3 2" xfId="2846" xr:uid="{00000000-0005-0000-0000-000052020000}"/>
    <cellStyle name="Comma 2 2 5 3 3" xfId="4283" xr:uid="{00000000-0005-0000-0000-000053020000}"/>
    <cellStyle name="Comma 2 2 5 3 4" xfId="5720" xr:uid="{00000000-0005-0000-0000-000054020000}"/>
    <cellStyle name="Comma 2 2 5 3 5" xfId="7166" xr:uid="{00000000-0005-0000-0000-000055020000}"/>
    <cellStyle name="Comma 2 2 5 3 6" xfId="8607" xr:uid="{00000000-0005-0000-0000-000056020000}"/>
    <cellStyle name="Comma 2 2 5 3 7" xfId="10040" xr:uid="{00000000-0005-0000-0000-000057020000}"/>
    <cellStyle name="Comma 2 2 5 4" xfId="1845" xr:uid="{00000000-0005-0000-0000-000058020000}"/>
    <cellStyle name="Comma 2 2 5 5" xfId="3302" xr:uid="{00000000-0005-0000-0000-000059020000}"/>
    <cellStyle name="Comma 2 2 5 6" xfId="4739" xr:uid="{00000000-0005-0000-0000-00005A020000}"/>
    <cellStyle name="Comma 2 2 5 7" xfId="6185" xr:uid="{00000000-0005-0000-0000-00005B020000}"/>
    <cellStyle name="Comma 2 2 5 8" xfId="7623" xr:uid="{00000000-0005-0000-0000-00005C020000}"/>
    <cellStyle name="Comma 2 2 5 9" xfId="9061" xr:uid="{00000000-0005-0000-0000-00005D020000}"/>
    <cellStyle name="Comma 2 2 6" xfId="474" xr:uid="{00000000-0005-0000-0000-00005E020000}"/>
    <cellStyle name="Comma 2 2 6 2" xfId="953" xr:uid="{00000000-0005-0000-0000-00005F020000}"/>
    <cellStyle name="Comma 2 2 6 2 2" xfId="2444" xr:uid="{00000000-0005-0000-0000-000060020000}"/>
    <cellStyle name="Comma 2 2 6 2 3" xfId="3891" xr:uid="{00000000-0005-0000-0000-000061020000}"/>
    <cellStyle name="Comma 2 2 6 2 4" xfId="5328" xr:uid="{00000000-0005-0000-0000-000062020000}"/>
    <cellStyle name="Comma 2 2 6 2 5" xfId="6774" xr:uid="{00000000-0005-0000-0000-000063020000}"/>
    <cellStyle name="Comma 2 2 6 2 6" xfId="8214" xr:uid="{00000000-0005-0000-0000-000064020000}"/>
    <cellStyle name="Comma 2 2 6 2 7" xfId="9648" xr:uid="{00000000-0005-0000-0000-000065020000}"/>
    <cellStyle name="Comma 2 2 6 3" xfId="1505" xr:uid="{00000000-0005-0000-0000-000066020000}"/>
    <cellStyle name="Comma 2 2 6 3 2" xfId="2978" xr:uid="{00000000-0005-0000-0000-000067020000}"/>
    <cellStyle name="Comma 2 2 6 3 3" xfId="4415" xr:uid="{00000000-0005-0000-0000-000068020000}"/>
    <cellStyle name="Comma 2 2 6 3 4" xfId="5852" xr:uid="{00000000-0005-0000-0000-000069020000}"/>
    <cellStyle name="Comma 2 2 6 3 5" xfId="7298" xr:uid="{00000000-0005-0000-0000-00006A020000}"/>
    <cellStyle name="Comma 2 2 6 3 6" xfId="8739" xr:uid="{00000000-0005-0000-0000-00006B020000}"/>
    <cellStyle name="Comma 2 2 6 3 7" xfId="10172" xr:uid="{00000000-0005-0000-0000-00006C020000}"/>
    <cellStyle name="Comma 2 2 6 4" xfId="1977" xr:uid="{00000000-0005-0000-0000-00006D020000}"/>
    <cellStyle name="Comma 2 2 6 5" xfId="3434" xr:uid="{00000000-0005-0000-0000-00006E020000}"/>
    <cellStyle name="Comma 2 2 6 6" xfId="4871" xr:uid="{00000000-0005-0000-0000-00006F020000}"/>
    <cellStyle name="Comma 2 2 6 7" xfId="6317" xr:uid="{00000000-0005-0000-0000-000070020000}"/>
    <cellStyle name="Comma 2 2 6 8" xfId="7755" xr:uid="{00000000-0005-0000-0000-000071020000}"/>
    <cellStyle name="Comma 2 2 6 9" xfId="9192" xr:uid="{00000000-0005-0000-0000-000072020000}"/>
    <cellStyle name="Comma 2 2 7" xfId="539" xr:uid="{00000000-0005-0000-0000-000073020000}"/>
    <cellStyle name="Comma 2 2 7 2" xfId="1018" xr:uid="{00000000-0005-0000-0000-000074020000}"/>
    <cellStyle name="Comma 2 2 7 2 2" xfId="2509" xr:uid="{00000000-0005-0000-0000-000075020000}"/>
    <cellStyle name="Comma 2 2 7 2 3" xfId="3956" xr:uid="{00000000-0005-0000-0000-000076020000}"/>
    <cellStyle name="Comma 2 2 7 2 4" xfId="5393" xr:uid="{00000000-0005-0000-0000-000077020000}"/>
    <cellStyle name="Comma 2 2 7 2 5" xfId="6839" xr:uid="{00000000-0005-0000-0000-000078020000}"/>
    <cellStyle name="Comma 2 2 7 2 6" xfId="8279" xr:uid="{00000000-0005-0000-0000-000079020000}"/>
    <cellStyle name="Comma 2 2 7 2 7" xfId="9713" xr:uid="{00000000-0005-0000-0000-00007A020000}"/>
    <cellStyle name="Comma 2 2 7 3" xfId="1570" xr:uid="{00000000-0005-0000-0000-00007B020000}"/>
    <cellStyle name="Comma 2 2 7 3 2" xfId="3043" xr:uid="{00000000-0005-0000-0000-00007C020000}"/>
    <cellStyle name="Comma 2 2 7 3 3" xfId="4480" xr:uid="{00000000-0005-0000-0000-00007D020000}"/>
    <cellStyle name="Comma 2 2 7 3 4" xfId="5917" xr:uid="{00000000-0005-0000-0000-00007E020000}"/>
    <cellStyle name="Comma 2 2 7 3 5" xfId="7363" xr:uid="{00000000-0005-0000-0000-00007F020000}"/>
    <cellStyle name="Comma 2 2 7 3 6" xfId="8804" xr:uid="{00000000-0005-0000-0000-000080020000}"/>
    <cellStyle name="Comma 2 2 7 3 7" xfId="10237" xr:uid="{00000000-0005-0000-0000-000081020000}"/>
    <cellStyle name="Comma 2 2 7 4" xfId="2042" xr:uid="{00000000-0005-0000-0000-000082020000}"/>
    <cellStyle name="Comma 2 2 7 5" xfId="3499" xr:uid="{00000000-0005-0000-0000-000083020000}"/>
    <cellStyle name="Comma 2 2 7 6" xfId="4936" xr:uid="{00000000-0005-0000-0000-000084020000}"/>
    <cellStyle name="Comma 2 2 7 7" xfId="6382" xr:uid="{00000000-0005-0000-0000-000085020000}"/>
    <cellStyle name="Comma 2 2 7 8" xfId="7820" xr:uid="{00000000-0005-0000-0000-000086020000}"/>
    <cellStyle name="Comma 2 2 7 9" xfId="9257" xr:uid="{00000000-0005-0000-0000-000087020000}"/>
    <cellStyle name="Comma 2 2 8" xfId="681" xr:uid="{00000000-0005-0000-0000-000088020000}"/>
    <cellStyle name="Comma 2 2 8 2" xfId="2172" xr:uid="{00000000-0005-0000-0000-000089020000}"/>
    <cellStyle name="Comma 2 2 8 3" xfId="3629" xr:uid="{00000000-0005-0000-0000-00008A020000}"/>
    <cellStyle name="Comma 2 2 8 4" xfId="5066" xr:uid="{00000000-0005-0000-0000-00008B020000}"/>
    <cellStyle name="Comma 2 2 8 5" xfId="6512" xr:uid="{00000000-0005-0000-0000-00008C020000}"/>
    <cellStyle name="Comma 2 2 8 6" xfId="7951" xr:uid="{00000000-0005-0000-0000-00008D020000}"/>
    <cellStyle name="Comma 2 2 8 7" xfId="9386" xr:uid="{00000000-0005-0000-0000-00008E020000}"/>
    <cellStyle name="Comma 2 2 9" xfId="1172" xr:uid="{00000000-0005-0000-0000-00008F020000}"/>
    <cellStyle name="Comma 2 2 9 2" xfId="2651" xr:uid="{00000000-0005-0000-0000-000090020000}"/>
    <cellStyle name="Comma 2 2 9 3" xfId="4088" xr:uid="{00000000-0005-0000-0000-000091020000}"/>
    <cellStyle name="Comma 2 2 9 4" xfId="5525" xr:uid="{00000000-0005-0000-0000-000092020000}"/>
    <cellStyle name="Comma 2 2 9 5" xfId="6971" xr:uid="{00000000-0005-0000-0000-000093020000}"/>
    <cellStyle name="Comma 2 2 9 6" xfId="8412" xr:uid="{00000000-0005-0000-0000-000094020000}"/>
    <cellStyle name="Comma 2 2 9 7" xfId="9845" xr:uid="{00000000-0005-0000-0000-000095020000}"/>
    <cellStyle name="Comma 2 3" xfId="127" xr:uid="{00000000-0005-0000-0000-000096020000}"/>
    <cellStyle name="Comma 2 3 10" xfId="1721" xr:uid="{00000000-0005-0000-0000-000097020000}"/>
    <cellStyle name="Comma 2 3 11" xfId="3178" xr:uid="{00000000-0005-0000-0000-000098020000}"/>
    <cellStyle name="Comma 2 3 12" xfId="4615" xr:uid="{00000000-0005-0000-0000-000099020000}"/>
    <cellStyle name="Comma 2 3 13" xfId="6061" xr:uid="{00000000-0005-0000-0000-00009A020000}"/>
    <cellStyle name="Comma 2 3 14" xfId="7499" xr:uid="{00000000-0005-0000-0000-00009B020000}"/>
    <cellStyle name="Comma 2 3 15" xfId="8939" xr:uid="{00000000-0005-0000-0000-00009C020000}"/>
    <cellStyle name="Comma 2 3 2" xfId="236" xr:uid="{00000000-0005-0000-0000-00009D020000}"/>
    <cellStyle name="Comma 2 3 2 10" xfId="3210" xr:uid="{00000000-0005-0000-0000-00009E020000}"/>
    <cellStyle name="Comma 2 3 2 11" xfId="4647" xr:uid="{00000000-0005-0000-0000-00009F020000}"/>
    <cellStyle name="Comma 2 3 2 12" xfId="6093" xr:uid="{00000000-0005-0000-0000-0000A0020000}"/>
    <cellStyle name="Comma 2 3 2 13" xfId="7531" xr:uid="{00000000-0005-0000-0000-0000A1020000}"/>
    <cellStyle name="Comma 2 3 2 14" xfId="8971" xr:uid="{00000000-0005-0000-0000-0000A2020000}"/>
    <cellStyle name="Comma 2 3 2 2" xfId="304" xr:uid="{00000000-0005-0000-0000-0000A3020000}"/>
    <cellStyle name="Comma 2 3 2 2 10" xfId="7596" xr:uid="{00000000-0005-0000-0000-0000A4020000}"/>
    <cellStyle name="Comma 2 3 2 2 11" xfId="9035" xr:uid="{00000000-0005-0000-0000-0000A5020000}"/>
    <cellStyle name="Comma 2 3 2 2 2" xfId="442" xr:uid="{00000000-0005-0000-0000-0000A6020000}"/>
    <cellStyle name="Comma 2 3 2 2 2 2" xfId="924" xr:uid="{00000000-0005-0000-0000-0000A7020000}"/>
    <cellStyle name="Comma 2 3 2 2 2 2 2" xfId="2415" xr:uid="{00000000-0005-0000-0000-0000A8020000}"/>
    <cellStyle name="Comma 2 3 2 2 2 2 3" xfId="3862" xr:uid="{00000000-0005-0000-0000-0000A9020000}"/>
    <cellStyle name="Comma 2 3 2 2 2 2 4" xfId="5299" xr:uid="{00000000-0005-0000-0000-0000AA020000}"/>
    <cellStyle name="Comma 2 3 2 2 2 2 5" xfId="6745" xr:uid="{00000000-0005-0000-0000-0000AB020000}"/>
    <cellStyle name="Comma 2 3 2 2 2 2 6" xfId="8185" xr:uid="{00000000-0005-0000-0000-0000AC020000}"/>
    <cellStyle name="Comma 2 3 2 2 2 2 7" xfId="9619" xr:uid="{00000000-0005-0000-0000-0000AD020000}"/>
    <cellStyle name="Comma 2 3 2 2 2 3" xfId="1476" xr:uid="{00000000-0005-0000-0000-0000AE020000}"/>
    <cellStyle name="Comma 2 3 2 2 2 3 2" xfId="2949" xr:uid="{00000000-0005-0000-0000-0000AF020000}"/>
    <cellStyle name="Comma 2 3 2 2 2 3 3" xfId="4386" xr:uid="{00000000-0005-0000-0000-0000B0020000}"/>
    <cellStyle name="Comma 2 3 2 2 2 3 4" xfId="5823" xr:uid="{00000000-0005-0000-0000-0000B1020000}"/>
    <cellStyle name="Comma 2 3 2 2 2 3 5" xfId="7269" xr:uid="{00000000-0005-0000-0000-0000B2020000}"/>
    <cellStyle name="Comma 2 3 2 2 2 3 6" xfId="8710" xr:uid="{00000000-0005-0000-0000-0000B3020000}"/>
    <cellStyle name="Comma 2 3 2 2 2 3 7" xfId="10143" xr:uid="{00000000-0005-0000-0000-0000B4020000}"/>
    <cellStyle name="Comma 2 3 2 2 2 4" xfId="1948" xr:uid="{00000000-0005-0000-0000-0000B5020000}"/>
    <cellStyle name="Comma 2 3 2 2 2 5" xfId="3405" xr:uid="{00000000-0005-0000-0000-0000B6020000}"/>
    <cellStyle name="Comma 2 3 2 2 2 6" xfId="4842" xr:uid="{00000000-0005-0000-0000-0000B7020000}"/>
    <cellStyle name="Comma 2 3 2 2 2 7" xfId="6288" xr:uid="{00000000-0005-0000-0000-0000B8020000}"/>
    <cellStyle name="Comma 2 3 2 2 2 8" xfId="7726" xr:uid="{00000000-0005-0000-0000-0000B9020000}"/>
    <cellStyle name="Comma 2 3 2 2 2 9" xfId="9163" xr:uid="{00000000-0005-0000-0000-0000BA020000}"/>
    <cellStyle name="Comma 2 3 2 2 3" xfId="646" xr:uid="{00000000-0005-0000-0000-0000BB020000}"/>
    <cellStyle name="Comma 2 3 2 2 3 2" xfId="1125" xr:uid="{00000000-0005-0000-0000-0000BC020000}"/>
    <cellStyle name="Comma 2 3 2 2 3 2 2" xfId="2616" xr:uid="{00000000-0005-0000-0000-0000BD020000}"/>
    <cellStyle name="Comma 2 3 2 2 3 2 3" xfId="4059" xr:uid="{00000000-0005-0000-0000-0000BE020000}"/>
    <cellStyle name="Comma 2 3 2 2 3 2 4" xfId="5496" xr:uid="{00000000-0005-0000-0000-0000BF020000}"/>
    <cellStyle name="Comma 2 3 2 2 3 2 5" xfId="6942" xr:uid="{00000000-0005-0000-0000-0000C0020000}"/>
    <cellStyle name="Comma 2 3 2 2 3 2 6" xfId="8382" xr:uid="{00000000-0005-0000-0000-0000C1020000}"/>
    <cellStyle name="Comma 2 3 2 2 3 2 7" xfId="9816" xr:uid="{00000000-0005-0000-0000-0000C2020000}"/>
    <cellStyle name="Comma 2 3 2 2 3 3" xfId="1675" xr:uid="{00000000-0005-0000-0000-0000C3020000}"/>
    <cellStyle name="Comma 2 3 2 2 3 3 2" xfId="3146" xr:uid="{00000000-0005-0000-0000-0000C4020000}"/>
    <cellStyle name="Comma 2 3 2 2 3 3 3" xfId="4583" xr:uid="{00000000-0005-0000-0000-0000C5020000}"/>
    <cellStyle name="Comma 2 3 2 2 3 3 4" xfId="6020" xr:uid="{00000000-0005-0000-0000-0000C6020000}"/>
    <cellStyle name="Comma 2 3 2 2 3 3 5" xfId="7466" xr:uid="{00000000-0005-0000-0000-0000C7020000}"/>
    <cellStyle name="Comma 2 3 2 2 3 3 6" xfId="8907" xr:uid="{00000000-0005-0000-0000-0000C8020000}"/>
    <cellStyle name="Comma 2 3 2 2 3 3 7" xfId="10340" xr:uid="{00000000-0005-0000-0000-0000C9020000}"/>
    <cellStyle name="Comma 2 3 2 2 3 4" xfId="2145" xr:uid="{00000000-0005-0000-0000-0000CA020000}"/>
    <cellStyle name="Comma 2 3 2 2 3 5" xfId="3602" xr:uid="{00000000-0005-0000-0000-0000CB020000}"/>
    <cellStyle name="Comma 2 3 2 2 3 6" xfId="5039" xr:uid="{00000000-0005-0000-0000-0000CC020000}"/>
    <cellStyle name="Comma 2 3 2 2 3 7" xfId="6485" xr:uid="{00000000-0005-0000-0000-0000CD020000}"/>
    <cellStyle name="Comma 2 3 2 2 3 8" xfId="7924" xr:uid="{00000000-0005-0000-0000-0000CE020000}"/>
    <cellStyle name="Comma 2 3 2 2 3 9" xfId="9359" xr:uid="{00000000-0005-0000-0000-0000CF020000}"/>
    <cellStyle name="Comma 2 3 2 2 4" xfId="788" xr:uid="{00000000-0005-0000-0000-0000D0020000}"/>
    <cellStyle name="Comma 2 3 2 2 4 2" xfId="2279" xr:uid="{00000000-0005-0000-0000-0000D1020000}"/>
    <cellStyle name="Comma 2 3 2 2 4 3" xfId="3732" xr:uid="{00000000-0005-0000-0000-0000D2020000}"/>
    <cellStyle name="Comma 2 3 2 2 4 4" xfId="5169" xr:uid="{00000000-0005-0000-0000-0000D3020000}"/>
    <cellStyle name="Comma 2 3 2 2 4 5" xfId="6615" xr:uid="{00000000-0005-0000-0000-0000D4020000}"/>
    <cellStyle name="Comma 2 3 2 2 4 6" xfId="8055" xr:uid="{00000000-0005-0000-0000-0000D5020000}"/>
    <cellStyle name="Comma 2 3 2 2 4 7" xfId="9489" xr:uid="{00000000-0005-0000-0000-0000D6020000}"/>
    <cellStyle name="Comma 2 3 2 2 5" xfId="1344" xr:uid="{00000000-0005-0000-0000-0000D7020000}"/>
    <cellStyle name="Comma 2 3 2 2 5 2" xfId="2819" xr:uid="{00000000-0005-0000-0000-0000D8020000}"/>
    <cellStyle name="Comma 2 3 2 2 5 3" xfId="4256" xr:uid="{00000000-0005-0000-0000-0000D9020000}"/>
    <cellStyle name="Comma 2 3 2 2 5 4" xfId="5693" xr:uid="{00000000-0005-0000-0000-0000DA020000}"/>
    <cellStyle name="Comma 2 3 2 2 5 5" xfId="7139" xr:uid="{00000000-0005-0000-0000-0000DB020000}"/>
    <cellStyle name="Comma 2 3 2 2 5 6" xfId="8580" xr:uid="{00000000-0005-0000-0000-0000DC020000}"/>
    <cellStyle name="Comma 2 3 2 2 5 7" xfId="10013" xr:uid="{00000000-0005-0000-0000-0000DD020000}"/>
    <cellStyle name="Comma 2 3 2 2 6" xfId="1818" xr:uid="{00000000-0005-0000-0000-0000DE020000}"/>
    <cellStyle name="Comma 2 3 2 2 7" xfId="3275" xr:uid="{00000000-0005-0000-0000-0000DF020000}"/>
    <cellStyle name="Comma 2 3 2 2 8" xfId="4712" xr:uid="{00000000-0005-0000-0000-0000E0020000}"/>
    <cellStyle name="Comma 2 3 2 2 9" xfId="6158" xr:uid="{00000000-0005-0000-0000-0000E1020000}"/>
    <cellStyle name="Comma 2 3 2 3" xfId="373" xr:uid="{00000000-0005-0000-0000-0000E2020000}"/>
    <cellStyle name="Comma 2 3 2 3 2" xfId="855" xr:uid="{00000000-0005-0000-0000-0000E3020000}"/>
    <cellStyle name="Comma 2 3 2 3 2 2" xfId="2346" xr:uid="{00000000-0005-0000-0000-0000E4020000}"/>
    <cellStyle name="Comma 2 3 2 3 2 3" xfId="3797" xr:uid="{00000000-0005-0000-0000-0000E5020000}"/>
    <cellStyle name="Comma 2 3 2 3 2 4" xfId="5234" xr:uid="{00000000-0005-0000-0000-0000E6020000}"/>
    <cellStyle name="Comma 2 3 2 3 2 5" xfId="6680" xr:uid="{00000000-0005-0000-0000-0000E7020000}"/>
    <cellStyle name="Comma 2 3 2 3 2 6" xfId="8120" xr:uid="{00000000-0005-0000-0000-0000E8020000}"/>
    <cellStyle name="Comma 2 3 2 3 2 7" xfId="9554" xr:uid="{00000000-0005-0000-0000-0000E9020000}"/>
    <cellStyle name="Comma 2 3 2 3 3" xfId="1409" xr:uid="{00000000-0005-0000-0000-0000EA020000}"/>
    <cellStyle name="Comma 2 3 2 3 3 2" xfId="2884" xr:uid="{00000000-0005-0000-0000-0000EB020000}"/>
    <cellStyle name="Comma 2 3 2 3 3 3" xfId="4321" xr:uid="{00000000-0005-0000-0000-0000EC020000}"/>
    <cellStyle name="Comma 2 3 2 3 3 4" xfId="5758" xr:uid="{00000000-0005-0000-0000-0000ED020000}"/>
    <cellStyle name="Comma 2 3 2 3 3 5" xfId="7204" xr:uid="{00000000-0005-0000-0000-0000EE020000}"/>
    <cellStyle name="Comma 2 3 2 3 3 6" xfId="8645" xr:uid="{00000000-0005-0000-0000-0000EF020000}"/>
    <cellStyle name="Comma 2 3 2 3 3 7" xfId="10078" xr:uid="{00000000-0005-0000-0000-0000F0020000}"/>
    <cellStyle name="Comma 2 3 2 3 4" xfId="1883" xr:uid="{00000000-0005-0000-0000-0000F1020000}"/>
    <cellStyle name="Comma 2 3 2 3 5" xfId="3340" xr:uid="{00000000-0005-0000-0000-0000F2020000}"/>
    <cellStyle name="Comma 2 3 2 3 6" xfId="4777" xr:uid="{00000000-0005-0000-0000-0000F3020000}"/>
    <cellStyle name="Comma 2 3 2 3 7" xfId="6223" xr:uid="{00000000-0005-0000-0000-0000F4020000}"/>
    <cellStyle name="Comma 2 3 2 3 8" xfId="7661" xr:uid="{00000000-0005-0000-0000-0000F5020000}"/>
    <cellStyle name="Comma 2 3 2 3 9" xfId="9098" xr:uid="{00000000-0005-0000-0000-0000F6020000}"/>
    <cellStyle name="Comma 2 3 2 4" xfId="512" xr:uid="{00000000-0005-0000-0000-0000F7020000}"/>
    <cellStyle name="Comma 2 3 2 4 2" xfId="991" xr:uid="{00000000-0005-0000-0000-0000F8020000}"/>
    <cellStyle name="Comma 2 3 2 4 2 2" xfId="2482" xr:uid="{00000000-0005-0000-0000-0000F9020000}"/>
    <cellStyle name="Comma 2 3 2 4 2 3" xfId="3929" xr:uid="{00000000-0005-0000-0000-0000FA020000}"/>
    <cellStyle name="Comma 2 3 2 4 2 4" xfId="5366" xr:uid="{00000000-0005-0000-0000-0000FB020000}"/>
    <cellStyle name="Comma 2 3 2 4 2 5" xfId="6812" xr:uid="{00000000-0005-0000-0000-0000FC020000}"/>
    <cellStyle name="Comma 2 3 2 4 2 6" xfId="8252" xr:uid="{00000000-0005-0000-0000-0000FD020000}"/>
    <cellStyle name="Comma 2 3 2 4 2 7" xfId="9686" xr:uid="{00000000-0005-0000-0000-0000FE020000}"/>
    <cellStyle name="Comma 2 3 2 4 3" xfId="1543" xr:uid="{00000000-0005-0000-0000-0000FF020000}"/>
    <cellStyle name="Comma 2 3 2 4 3 2" xfId="3016" xr:uid="{00000000-0005-0000-0000-000000030000}"/>
    <cellStyle name="Comma 2 3 2 4 3 3" xfId="4453" xr:uid="{00000000-0005-0000-0000-000001030000}"/>
    <cellStyle name="Comma 2 3 2 4 3 4" xfId="5890" xr:uid="{00000000-0005-0000-0000-000002030000}"/>
    <cellStyle name="Comma 2 3 2 4 3 5" xfId="7336" xr:uid="{00000000-0005-0000-0000-000003030000}"/>
    <cellStyle name="Comma 2 3 2 4 3 6" xfId="8777" xr:uid="{00000000-0005-0000-0000-000004030000}"/>
    <cellStyle name="Comma 2 3 2 4 3 7" xfId="10210" xr:uid="{00000000-0005-0000-0000-000005030000}"/>
    <cellStyle name="Comma 2 3 2 4 4" xfId="2015" xr:uid="{00000000-0005-0000-0000-000006030000}"/>
    <cellStyle name="Comma 2 3 2 4 5" xfId="3472" xr:uid="{00000000-0005-0000-0000-000007030000}"/>
    <cellStyle name="Comma 2 3 2 4 6" xfId="4909" xr:uid="{00000000-0005-0000-0000-000008030000}"/>
    <cellStyle name="Comma 2 3 2 4 7" xfId="6355" xr:uid="{00000000-0005-0000-0000-000009030000}"/>
    <cellStyle name="Comma 2 3 2 4 8" xfId="7793" xr:uid="{00000000-0005-0000-0000-00000A030000}"/>
    <cellStyle name="Comma 2 3 2 4 9" xfId="9230" xr:uid="{00000000-0005-0000-0000-00000B030000}"/>
    <cellStyle name="Comma 2 3 2 5" xfId="577" xr:uid="{00000000-0005-0000-0000-00000C030000}"/>
    <cellStyle name="Comma 2 3 2 5 2" xfId="1056" xr:uid="{00000000-0005-0000-0000-00000D030000}"/>
    <cellStyle name="Comma 2 3 2 5 2 2" xfId="2547" xr:uid="{00000000-0005-0000-0000-00000E030000}"/>
    <cellStyle name="Comma 2 3 2 5 2 3" xfId="3994" xr:uid="{00000000-0005-0000-0000-00000F030000}"/>
    <cellStyle name="Comma 2 3 2 5 2 4" xfId="5431" xr:uid="{00000000-0005-0000-0000-000010030000}"/>
    <cellStyle name="Comma 2 3 2 5 2 5" xfId="6877" xr:uid="{00000000-0005-0000-0000-000011030000}"/>
    <cellStyle name="Comma 2 3 2 5 2 6" xfId="8317" xr:uid="{00000000-0005-0000-0000-000012030000}"/>
    <cellStyle name="Comma 2 3 2 5 2 7" xfId="9751" xr:uid="{00000000-0005-0000-0000-000013030000}"/>
    <cellStyle name="Comma 2 3 2 5 3" xfId="1608" xr:uid="{00000000-0005-0000-0000-000014030000}"/>
    <cellStyle name="Comma 2 3 2 5 3 2" xfId="3081" xr:uid="{00000000-0005-0000-0000-000015030000}"/>
    <cellStyle name="Comma 2 3 2 5 3 3" xfId="4518" xr:uid="{00000000-0005-0000-0000-000016030000}"/>
    <cellStyle name="Comma 2 3 2 5 3 4" xfId="5955" xr:uid="{00000000-0005-0000-0000-000017030000}"/>
    <cellStyle name="Comma 2 3 2 5 3 5" xfId="7401" xr:uid="{00000000-0005-0000-0000-000018030000}"/>
    <cellStyle name="Comma 2 3 2 5 3 6" xfId="8842" xr:uid="{00000000-0005-0000-0000-000019030000}"/>
    <cellStyle name="Comma 2 3 2 5 3 7" xfId="10275" xr:uid="{00000000-0005-0000-0000-00001A030000}"/>
    <cellStyle name="Comma 2 3 2 5 4" xfId="2080" xr:uid="{00000000-0005-0000-0000-00001B030000}"/>
    <cellStyle name="Comma 2 3 2 5 5" xfId="3537" xr:uid="{00000000-0005-0000-0000-00001C030000}"/>
    <cellStyle name="Comma 2 3 2 5 6" xfId="4974" xr:uid="{00000000-0005-0000-0000-00001D030000}"/>
    <cellStyle name="Comma 2 3 2 5 7" xfId="6420" xr:uid="{00000000-0005-0000-0000-00001E030000}"/>
    <cellStyle name="Comma 2 3 2 5 8" xfId="7858" xr:uid="{00000000-0005-0000-0000-00001F030000}"/>
    <cellStyle name="Comma 2 3 2 5 9" xfId="9294" xr:uid="{00000000-0005-0000-0000-000020030000}"/>
    <cellStyle name="Comma 2 3 2 6" xfId="719" xr:uid="{00000000-0005-0000-0000-000021030000}"/>
    <cellStyle name="Comma 2 3 2 6 2" xfId="2210" xr:uid="{00000000-0005-0000-0000-000022030000}"/>
    <cellStyle name="Comma 2 3 2 6 3" xfId="3667" xr:uid="{00000000-0005-0000-0000-000023030000}"/>
    <cellStyle name="Comma 2 3 2 6 4" xfId="5104" xr:uid="{00000000-0005-0000-0000-000024030000}"/>
    <cellStyle name="Comma 2 3 2 6 5" xfId="6550" xr:uid="{00000000-0005-0000-0000-000025030000}"/>
    <cellStyle name="Comma 2 3 2 6 6" xfId="7989" xr:uid="{00000000-0005-0000-0000-000026030000}"/>
    <cellStyle name="Comma 2 3 2 6 7" xfId="9424" xr:uid="{00000000-0005-0000-0000-000027030000}"/>
    <cellStyle name="Comma 2 3 2 7" xfId="1210" xr:uid="{00000000-0005-0000-0000-000028030000}"/>
    <cellStyle name="Comma 2 3 2 7 2" xfId="2689" xr:uid="{00000000-0005-0000-0000-000029030000}"/>
    <cellStyle name="Comma 2 3 2 7 3" xfId="4126" xr:uid="{00000000-0005-0000-0000-00002A030000}"/>
    <cellStyle name="Comma 2 3 2 7 4" xfId="5563" xr:uid="{00000000-0005-0000-0000-00002B030000}"/>
    <cellStyle name="Comma 2 3 2 7 5" xfId="7009" xr:uid="{00000000-0005-0000-0000-00002C030000}"/>
    <cellStyle name="Comma 2 3 2 7 6" xfId="8450" xr:uid="{00000000-0005-0000-0000-00002D030000}"/>
    <cellStyle name="Comma 2 3 2 7 7" xfId="9883" xr:uid="{00000000-0005-0000-0000-00002E030000}"/>
    <cellStyle name="Comma 2 3 2 8" xfId="1275" xr:uid="{00000000-0005-0000-0000-00002F030000}"/>
    <cellStyle name="Comma 2 3 2 8 2" xfId="2754" xr:uid="{00000000-0005-0000-0000-000030030000}"/>
    <cellStyle name="Comma 2 3 2 8 3" xfId="4191" xr:uid="{00000000-0005-0000-0000-000031030000}"/>
    <cellStyle name="Comma 2 3 2 8 4" xfId="5628" xr:uid="{00000000-0005-0000-0000-000032030000}"/>
    <cellStyle name="Comma 2 3 2 8 5" xfId="7074" xr:uid="{00000000-0005-0000-0000-000033030000}"/>
    <cellStyle name="Comma 2 3 2 8 6" xfId="8515" xr:uid="{00000000-0005-0000-0000-000034030000}"/>
    <cellStyle name="Comma 2 3 2 8 7" xfId="9948" xr:uid="{00000000-0005-0000-0000-000035030000}"/>
    <cellStyle name="Comma 2 3 2 9" xfId="1753" xr:uid="{00000000-0005-0000-0000-000036030000}"/>
    <cellStyle name="Comma 2 3 3" xfId="272" xr:uid="{00000000-0005-0000-0000-000037030000}"/>
    <cellStyle name="Comma 2 3 3 10" xfId="7564" xr:uid="{00000000-0005-0000-0000-000038030000}"/>
    <cellStyle name="Comma 2 3 3 11" xfId="9003" xr:uid="{00000000-0005-0000-0000-000039030000}"/>
    <cellStyle name="Comma 2 3 3 2" xfId="410" xr:uid="{00000000-0005-0000-0000-00003A030000}"/>
    <cellStyle name="Comma 2 3 3 2 2" xfId="892" xr:uid="{00000000-0005-0000-0000-00003B030000}"/>
    <cellStyle name="Comma 2 3 3 2 2 2" xfId="2383" xr:uid="{00000000-0005-0000-0000-00003C030000}"/>
    <cellStyle name="Comma 2 3 3 2 2 3" xfId="3830" xr:uid="{00000000-0005-0000-0000-00003D030000}"/>
    <cellStyle name="Comma 2 3 3 2 2 4" xfId="5267" xr:uid="{00000000-0005-0000-0000-00003E030000}"/>
    <cellStyle name="Comma 2 3 3 2 2 5" xfId="6713" xr:uid="{00000000-0005-0000-0000-00003F030000}"/>
    <cellStyle name="Comma 2 3 3 2 2 6" xfId="8153" xr:uid="{00000000-0005-0000-0000-000040030000}"/>
    <cellStyle name="Comma 2 3 3 2 2 7" xfId="9587" xr:uid="{00000000-0005-0000-0000-000041030000}"/>
    <cellStyle name="Comma 2 3 3 2 3" xfId="1444" xr:uid="{00000000-0005-0000-0000-000042030000}"/>
    <cellStyle name="Comma 2 3 3 2 3 2" xfId="2917" xr:uid="{00000000-0005-0000-0000-000043030000}"/>
    <cellStyle name="Comma 2 3 3 2 3 3" xfId="4354" xr:uid="{00000000-0005-0000-0000-000044030000}"/>
    <cellStyle name="Comma 2 3 3 2 3 4" xfId="5791" xr:uid="{00000000-0005-0000-0000-000045030000}"/>
    <cellStyle name="Comma 2 3 3 2 3 5" xfId="7237" xr:uid="{00000000-0005-0000-0000-000046030000}"/>
    <cellStyle name="Comma 2 3 3 2 3 6" xfId="8678" xr:uid="{00000000-0005-0000-0000-000047030000}"/>
    <cellStyle name="Comma 2 3 3 2 3 7" xfId="10111" xr:uid="{00000000-0005-0000-0000-000048030000}"/>
    <cellStyle name="Comma 2 3 3 2 4" xfId="1916" xr:uid="{00000000-0005-0000-0000-000049030000}"/>
    <cellStyle name="Comma 2 3 3 2 5" xfId="3373" xr:uid="{00000000-0005-0000-0000-00004A030000}"/>
    <cellStyle name="Comma 2 3 3 2 6" xfId="4810" xr:uid="{00000000-0005-0000-0000-00004B030000}"/>
    <cellStyle name="Comma 2 3 3 2 7" xfId="6256" xr:uid="{00000000-0005-0000-0000-00004C030000}"/>
    <cellStyle name="Comma 2 3 3 2 8" xfId="7694" xr:uid="{00000000-0005-0000-0000-00004D030000}"/>
    <cellStyle name="Comma 2 3 3 2 9" xfId="9131" xr:uid="{00000000-0005-0000-0000-00004E030000}"/>
    <cellStyle name="Comma 2 3 3 3" xfId="614" xr:uid="{00000000-0005-0000-0000-00004F030000}"/>
    <cellStyle name="Comma 2 3 3 3 2" xfId="1093" xr:uid="{00000000-0005-0000-0000-000050030000}"/>
    <cellStyle name="Comma 2 3 3 3 2 2" xfId="2584" xr:uid="{00000000-0005-0000-0000-000051030000}"/>
    <cellStyle name="Comma 2 3 3 3 2 3" xfId="4027" xr:uid="{00000000-0005-0000-0000-000052030000}"/>
    <cellStyle name="Comma 2 3 3 3 2 4" xfId="5464" xr:uid="{00000000-0005-0000-0000-000053030000}"/>
    <cellStyle name="Comma 2 3 3 3 2 5" xfId="6910" xr:uid="{00000000-0005-0000-0000-000054030000}"/>
    <cellStyle name="Comma 2 3 3 3 2 6" xfId="8350" xr:uid="{00000000-0005-0000-0000-000055030000}"/>
    <cellStyle name="Comma 2 3 3 3 2 7" xfId="9784" xr:uid="{00000000-0005-0000-0000-000056030000}"/>
    <cellStyle name="Comma 2 3 3 3 3" xfId="1643" xr:uid="{00000000-0005-0000-0000-000057030000}"/>
    <cellStyle name="Comma 2 3 3 3 3 2" xfId="3114" xr:uid="{00000000-0005-0000-0000-000058030000}"/>
    <cellStyle name="Comma 2 3 3 3 3 3" xfId="4551" xr:uid="{00000000-0005-0000-0000-000059030000}"/>
    <cellStyle name="Comma 2 3 3 3 3 4" xfId="5988" xr:uid="{00000000-0005-0000-0000-00005A030000}"/>
    <cellStyle name="Comma 2 3 3 3 3 5" xfId="7434" xr:uid="{00000000-0005-0000-0000-00005B030000}"/>
    <cellStyle name="Comma 2 3 3 3 3 6" xfId="8875" xr:uid="{00000000-0005-0000-0000-00005C030000}"/>
    <cellStyle name="Comma 2 3 3 3 3 7" xfId="10308" xr:uid="{00000000-0005-0000-0000-00005D030000}"/>
    <cellStyle name="Comma 2 3 3 3 4" xfId="2113" xr:uid="{00000000-0005-0000-0000-00005E030000}"/>
    <cellStyle name="Comma 2 3 3 3 5" xfId="3570" xr:uid="{00000000-0005-0000-0000-00005F030000}"/>
    <cellStyle name="Comma 2 3 3 3 6" xfId="5007" xr:uid="{00000000-0005-0000-0000-000060030000}"/>
    <cellStyle name="Comma 2 3 3 3 7" xfId="6453" xr:uid="{00000000-0005-0000-0000-000061030000}"/>
    <cellStyle name="Comma 2 3 3 3 8" xfId="7892" xr:uid="{00000000-0005-0000-0000-000062030000}"/>
    <cellStyle name="Comma 2 3 3 3 9" xfId="9327" xr:uid="{00000000-0005-0000-0000-000063030000}"/>
    <cellStyle name="Comma 2 3 3 4" xfId="756" xr:uid="{00000000-0005-0000-0000-000064030000}"/>
    <cellStyle name="Comma 2 3 3 4 2" xfId="2247" xr:uid="{00000000-0005-0000-0000-000065030000}"/>
    <cellStyle name="Comma 2 3 3 4 3" xfId="3700" xr:uid="{00000000-0005-0000-0000-000066030000}"/>
    <cellStyle name="Comma 2 3 3 4 4" xfId="5137" xr:uid="{00000000-0005-0000-0000-000067030000}"/>
    <cellStyle name="Comma 2 3 3 4 5" xfId="6583" xr:uid="{00000000-0005-0000-0000-000068030000}"/>
    <cellStyle name="Comma 2 3 3 4 6" xfId="8023" xr:uid="{00000000-0005-0000-0000-000069030000}"/>
    <cellStyle name="Comma 2 3 3 4 7" xfId="9457" xr:uid="{00000000-0005-0000-0000-00006A030000}"/>
    <cellStyle name="Comma 2 3 3 5" xfId="1312" xr:uid="{00000000-0005-0000-0000-00006B030000}"/>
    <cellStyle name="Comma 2 3 3 5 2" xfId="2787" xr:uid="{00000000-0005-0000-0000-00006C030000}"/>
    <cellStyle name="Comma 2 3 3 5 3" xfId="4224" xr:uid="{00000000-0005-0000-0000-00006D030000}"/>
    <cellStyle name="Comma 2 3 3 5 4" xfId="5661" xr:uid="{00000000-0005-0000-0000-00006E030000}"/>
    <cellStyle name="Comma 2 3 3 5 5" xfId="7107" xr:uid="{00000000-0005-0000-0000-00006F030000}"/>
    <cellStyle name="Comma 2 3 3 5 6" xfId="8548" xr:uid="{00000000-0005-0000-0000-000070030000}"/>
    <cellStyle name="Comma 2 3 3 5 7" xfId="9981" xr:uid="{00000000-0005-0000-0000-000071030000}"/>
    <cellStyle name="Comma 2 3 3 6" xfId="1786" xr:uid="{00000000-0005-0000-0000-000072030000}"/>
    <cellStyle name="Comma 2 3 3 7" xfId="3243" xr:uid="{00000000-0005-0000-0000-000073030000}"/>
    <cellStyle name="Comma 2 3 3 8" xfId="4680" xr:uid="{00000000-0005-0000-0000-000074030000}"/>
    <cellStyle name="Comma 2 3 3 9" xfId="6126" xr:uid="{00000000-0005-0000-0000-000075030000}"/>
    <cellStyle name="Comma 2 3 4" xfId="341" xr:uid="{00000000-0005-0000-0000-000076030000}"/>
    <cellStyle name="Comma 2 3 4 2" xfId="823" xr:uid="{00000000-0005-0000-0000-000077030000}"/>
    <cellStyle name="Comma 2 3 4 2 2" xfId="2314" xr:uid="{00000000-0005-0000-0000-000078030000}"/>
    <cellStyle name="Comma 2 3 4 2 3" xfId="3765" xr:uid="{00000000-0005-0000-0000-000079030000}"/>
    <cellStyle name="Comma 2 3 4 2 4" xfId="5202" xr:uid="{00000000-0005-0000-0000-00007A030000}"/>
    <cellStyle name="Comma 2 3 4 2 5" xfId="6648" xr:uid="{00000000-0005-0000-0000-00007B030000}"/>
    <cellStyle name="Comma 2 3 4 2 6" xfId="8088" xr:uid="{00000000-0005-0000-0000-00007C030000}"/>
    <cellStyle name="Comma 2 3 4 2 7" xfId="9522" xr:uid="{00000000-0005-0000-0000-00007D030000}"/>
    <cellStyle name="Comma 2 3 4 3" xfId="1377" xr:uid="{00000000-0005-0000-0000-00007E030000}"/>
    <cellStyle name="Comma 2 3 4 3 2" xfId="2852" xr:uid="{00000000-0005-0000-0000-00007F030000}"/>
    <cellStyle name="Comma 2 3 4 3 3" xfId="4289" xr:uid="{00000000-0005-0000-0000-000080030000}"/>
    <cellStyle name="Comma 2 3 4 3 4" xfId="5726" xr:uid="{00000000-0005-0000-0000-000081030000}"/>
    <cellStyle name="Comma 2 3 4 3 5" xfId="7172" xr:uid="{00000000-0005-0000-0000-000082030000}"/>
    <cellStyle name="Comma 2 3 4 3 6" xfId="8613" xr:uid="{00000000-0005-0000-0000-000083030000}"/>
    <cellStyle name="Comma 2 3 4 3 7" xfId="10046" xr:uid="{00000000-0005-0000-0000-000084030000}"/>
    <cellStyle name="Comma 2 3 4 4" xfId="1851" xr:uid="{00000000-0005-0000-0000-000085030000}"/>
    <cellStyle name="Comma 2 3 4 5" xfId="3308" xr:uid="{00000000-0005-0000-0000-000086030000}"/>
    <cellStyle name="Comma 2 3 4 6" xfId="4745" xr:uid="{00000000-0005-0000-0000-000087030000}"/>
    <cellStyle name="Comma 2 3 4 7" xfId="6191" xr:uid="{00000000-0005-0000-0000-000088030000}"/>
    <cellStyle name="Comma 2 3 4 8" xfId="7629" xr:uid="{00000000-0005-0000-0000-000089030000}"/>
    <cellStyle name="Comma 2 3 4 9" xfId="9066" xr:uid="{00000000-0005-0000-0000-00008A030000}"/>
    <cellStyle name="Comma 2 3 5" xfId="480" xr:uid="{00000000-0005-0000-0000-00008B030000}"/>
    <cellStyle name="Comma 2 3 5 2" xfId="959" xr:uid="{00000000-0005-0000-0000-00008C030000}"/>
    <cellStyle name="Comma 2 3 5 2 2" xfId="2450" xr:uid="{00000000-0005-0000-0000-00008D030000}"/>
    <cellStyle name="Comma 2 3 5 2 3" xfId="3897" xr:uid="{00000000-0005-0000-0000-00008E030000}"/>
    <cellStyle name="Comma 2 3 5 2 4" xfId="5334" xr:uid="{00000000-0005-0000-0000-00008F030000}"/>
    <cellStyle name="Comma 2 3 5 2 5" xfId="6780" xr:uid="{00000000-0005-0000-0000-000090030000}"/>
    <cellStyle name="Comma 2 3 5 2 6" xfId="8220" xr:uid="{00000000-0005-0000-0000-000091030000}"/>
    <cellStyle name="Comma 2 3 5 2 7" xfId="9654" xr:uid="{00000000-0005-0000-0000-000092030000}"/>
    <cellStyle name="Comma 2 3 5 3" xfId="1511" xr:uid="{00000000-0005-0000-0000-000093030000}"/>
    <cellStyle name="Comma 2 3 5 3 2" xfId="2984" xr:uid="{00000000-0005-0000-0000-000094030000}"/>
    <cellStyle name="Comma 2 3 5 3 3" xfId="4421" xr:uid="{00000000-0005-0000-0000-000095030000}"/>
    <cellStyle name="Comma 2 3 5 3 4" xfId="5858" xr:uid="{00000000-0005-0000-0000-000096030000}"/>
    <cellStyle name="Comma 2 3 5 3 5" xfId="7304" xr:uid="{00000000-0005-0000-0000-000097030000}"/>
    <cellStyle name="Comma 2 3 5 3 6" xfId="8745" xr:uid="{00000000-0005-0000-0000-000098030000}"/>
    <cellStyle name="Comma 2 3 5 3 7" xfId="10178" xr:uid="{00000000-0005-0000-0000-000099030000}"/>
    <cellStyle name="Comma 2 3 5 4" xfId="1983" xr:uid="{00000000-0005-0000-0000-00009A030000}"/>
    <cellStyle name="Comma 2 3 5 5" xfId="3440" xr:uid="{00000000-0005-0000-0000-00009B030000}"/>
    <cellStyle name="Comma 2 3 5 6" xfId="4877" xr:uid="{00000000-0005-0000-0000-00009C030000}"/>
    <cellStyle name="Comma 2 3 5 7" xfId="6323" xr:uid="{00000000-0005-0000-0000-00009D030000}"/>
    <cellStyle name="Comma 2 3 5 8" xfId="7761" xr:uid="{00000000-0005-0000-0000-00009E030000}"/>
    <cellStyle name="Comma 2 3 5 9" xfId="9198" xr:uid="{00000000-0005-0000-0000-00009F030000}"/>
    <cellStyle name="Comma 2 3 6" xfId="545" xr:uid="{00000000-0005-0000-0000-0000A0030000}"/>
    <cellStyle name="Comma 2 3 6 2" xfId="1024" xr:uid="{00000000-0005-0000-0000-0000A1030000}"/>
    <cellStyle name="Comma 2 3 6 2 2" xfId="2515" xr:uid="{00000000-0005-0000-0000-0000A2030000}"/>
    <cellStyle name="Comma 2 3 6 2 3" xfId="3962" xr:uid="{00000000-0005-0000-0000-0000A3030000}"/>
    <cellStyle name="Comma 2 3 6 2 4" xfId="5399" xr:uid="{00000000-0005-0000-0000-0000A4030000}"/>
    <cellStyle name="Comma 2 3 6 2 5" xfId="6845" xr:uid="{00000000-0005-0000-0000-0000A5030000}"/>
    <cellStyle name="Comma 2 3 6 2 6" xfId="8285" xr:uid="{00000000-0005-0000-0000-0000A6030000}"/>
    <cellStyle name="Comma 2 3 6 2 7" xfId="9719" xr:uid="{00000000-0005-0000-0000-0000A7030000}"/>
    <cellStyle name="Comma 2 3 6 3" xfId="1576" xr:uid="{00000000-0005-0000-0000-0000A8030000}"/>
    <cellStyle name="Comma 2 3 6 3 2" xfId="3049" xr:uid="{00000000-0005-0000-0000-0000A9030000}"/>
    <cellStyle name="Comma 2 3 6 3 3" xfId="4486" xr:uid="{00000000-0005-0000-0000-0000AA030000}"/>
    <cellStyle name="Comma 2 3 6 3 4" xfId="5923" xr:uid="{00000000-0005-0000-0000-0000AB030000}"/>
    <cellStyle name="Comma 2 3 6 3 5" xfId="7369" xr:uid="{00000000-0005-0000-0000-0000AC030000}"/>
    <cellStyle name="Comma 2 3 6 3 6" xfId="8810" xr:uid="{00000000-0005-0000-0000-0000AD030000}"/>
    <cellStyle name="Comma 2 3 6 3 7" xfId="10243" xr:uid="{00000000-0005-0000-0000-0000AE030000}"/>
    <cellStyle name="Comma 2 3 6 4" xfId="2048" xr:uid="{00000000-0005-0000-0000-0000AF030000}"/>
    <cellStyle name="Comma 2 3 6 5" xfId="3505" xr:uid="{00000000-0005-0000-0000-0000B0030000}"/>
    <cellStyle name="Comma 2 3 6 6" xfId="4942" xr:uid="{00000000-0005-0000-0000-0000B1030000}"/>
    <cellStyle name="Comma 2 3 6 7" xfId="6388" xr:uid="{00000000-0005-0000-0000-0000B2030000}"/>
    <cellStyle name="Comma 2 3 6 8" xfId="7826" xr:uid="{00000000-0005-0000-0000-0000B3030000}"/>
    <cellStyle name="Comma 2 3 6 9" xfId="9262" xr:uid="{00000000-0005-0000-0000-0000B4030000}"/>
    <cellStyle name="Comma 2 3 7" xfId="687" xr:uid="{00000000-0005-0000-0000-0000B5030000}"/>
    <cellStyle name="Comma 2 3 7 2" xfId="2178" xr:uid="{00000000-0005-0000-0000-0000B6030000}"/>
    <cellStyle name="Comma 2 3 7 3" xfId="3635" xr:uid="{00000000-0005-0000-0000-0000B7030000}"/>
    <cellStyle name="Comma 2 3 7 4" xfId="5072" xr:uid="{00000000-0005-0000-0000-0000B8030000}"/>
    <cellStyle name="Comma 2 3 7 5" xfId="6518" xr:uid="{00000000-0005-0000-0000-0000B9030000}"/>
    <cellStyle name="Comma 2 3 7 6" xfId="7957" xr:uid="{00000000-0005-0000-0000-0000BA030000}"/>
    <cellStyle name="Comma 2 3 7 7" xfId="9392" xr:uid="{00000000-0005-0000-0000-0000BB030000}"/>
    <cellStyle name="Comma 2 3 8" xfId="1178" xr:uid="{00000000-0005-0000-0000-0000BC030000}"/>
    <cellStyle name="Comma 2 3 8 2" xfId="2657" xr:uid="{00000000-0005-0000-0000-0000BD030000}"/>
    <cellStyle name="Comma 2 3 8 3" xfId="4094" xr:uid="{00000000-0005-0000-0000-0000BE030000}"/>
    <cellStyle name="Comma 2 3 8 4" xfId="5531" xr:uid="{00000000-0005-0000-0000-0000BF030000}"/>
    <cellStyle name="Comma 2 3 8 5" xfId="6977" xr:uid="{00000000-0005-0000-0000-0000C0030000}"/>
    <cellStyle name="Comma 2 3 8 6" xfId="8418" xr:uid="{00000000-0005-0000-0000-0000C1030000}"/>
    <cellStyle name="Comma 2 3 8 7" xfId="9851" xr:uid="{00000000-0005-0000-0000-0000C2030000}"/>
    <cellStyle name="Comma 2 3 9" xfId="1243" xr:uid="{00000000-0005-0000-0000-0000C3030000}"/>
    <cellStyle name="Comma 2 3 9 2" xfId="2722" xr:uid="{00000000-0005-0000-0000-0000C4030000}"/>
    <cellStyle name="Comma 2 3 9 3" xfId="4159" xr:uid="{00000000-0005-0000-0000-0000C5030000}"/>
    <cellStyle name="Comma 2 3 9 4" xfId="5596" xr:uid="{00000000-0005-0000-0000-0000C6030000}"/>
    <cellStyle name="Comma 2 3 9 5" xfId="7042" xr:uid="{00000000-0005-0000-0000-0000C7030000}"/>
    <cellStyle name="Comma 2 3 9 6" xfId="8483" xr:uid="{00000000-0005-0000-0000-0000C8030000}"/>
    <cellStyle name="Comma 2 3 9 7" xfId="9916" xr:uid="{00000000-0005-0000-0000-0000C9030000}"/>
    <cellStyle name="Comma 2 4" xfId="223" xr:uid="{00000000-0005-0000-0000-0000CA030000}"/>
    <cellStyle name="Comma 2 4 10" xfId="3198" xr:uid="{00000000-0005-0000-0000-0000CB030000}"/>
    <cellStyle name="Comma 2 4 11" xfId="4635" xr:uid="{00000000-0005-0000-0000-0000CC030000}"/>
    <cellStyle name="Comma 2 4 12" xfId="6081" xr:uid="{00000000-0005-0000-0000-0000CD030000}"/>
    <cellStyle name="Comma 2 4 13" xfId="7519" xr:uid="{00000000-0005-0000-0000-0000CE030000}"/>
    <cellStyle name="Comma 2 4 14" xfId="8959" xr:uid="{00000000-0005-0000-0000-0000CF030000}"/>
    <cellStyle name="Comma 2 4 2" xfId="292" xr:uid="{00000000-0005-0000-0000-0000D0030000}"/>
    <cellStyle name="Comma 2 4 2 10" xfId="7584" xr:uid="{00000000-0005-0000-0000-0000D1030000}"/>
    <cellStyle name="Comma 2 4 2 11" xfId="9023" xr:uid="{00000000-0005-0000-0000-0000D2030000}"/>
    <cellStyle name="Comma 2 4 2 2" xfId="430" xr:uid="{00000000-0005-0000-0000-0000D3030000}"/>
    <cellStyle name="Comma 2 4 2 2 2" xfId="912" xr:uid="{00000000-0005-0000-0000-0000D4030000}"/>
    <cellStyle name="Comma 2 4 2 2 2 2" xfId="2403" xr:uid="{00000000-0005-0000-0000-0000D5030000}"/>
    <cellStyle name="Comma 2 4 2 2 2 3" xfId="3850" xr:uid="{00000000-0005-0000-0000-0000D6030000}"/>
    <cellStyle name="Comma 2 4 2 2 2 4" xfId="5287" xr:uid="{00000000-0005-0000-0000-0000D7030000}"/>
    <cellStyle name="Comma 2 4 2 2 2 5" xfId="6733" xr:uid="{00000000-0005-0000-0000-0000D8030000}"/>
    <cellStyle name="Comma 2 4 2 2 2 6" xfId="8173" xr:uid="{00000000-0005-0000-0000-0000D9030000}"/>
    <cellStyle name="Comma 2 4 2 2 2 7" xfId="9607" xr:uid="{00000000-0005-0000-0000-0000DA030000}"/>
    <cellStyle name="Comma 2 4 2 2 3" xfId="1464" xr:uid="{00000000-0005-0000-0000-0000DB030000}"/>
    <cellStyle name="Comma 2 4 2 2 3 2" xfId="2937" xr:uid="{00000000-0005-0000-0000-0000DC030000}"/>
    <cellStyle name="Comma 2 4 2 2 3 3" xfId="4374" xr:uid="{00000000-0005-0000-0000-0000DD030000}"/>
    <cellStyle name="Comma 2 4 2 2 3 4" xfId="5811" xr:uid="{00000000-0005-0000-0000-0000DE030000}"/>
    <cellStyle name="Comma 2 4 2 2 3 5" xfId="7257" xr:uid="{00000000-0005-0000-0000-0000DF030000}"/>
    <cellStyle name="Comma 2 4 2 2 3 6" xfId="8698" xr:uid="{00000000-0005-0000-0000-0000E0030000}"/>
    <cellStyle name="Comma 2 4 2 2 3 7" xfId="10131" xr:uid="{00000000-0005-0000-0000-0000E1030000}"/>
    <cellStyle name="Comma 2 4 2 2 4" xfId="1936" xr:uid="{00000000-0005-0000-0000-0000E2030000}"/>
    <cellStyle name="Comma 2 4 2 2 5" xfId="3393" xr:uid="{00000000-0005-0000-0000-0000E3030000}"/>
    <cellStyle name="Comma 2 4 2 2 6" xfId="4830" xr:uid="{00000000-0005-0000-0000-0000E4030000}"/>
    <cellStyle name="Comma 2 4 2 2 7" xfId="6276" xr:uid="{00000000-0005-0000-0000-0000E5030000}"/>
    <cellStyle name="Comma 2 4 2 2 8" xfId="7714" xr:uid="{00000000-0005-0000-0000-0000E6030000}"/>
    <cellStyle name="Comma 2 4 2 2 9" xfId="9151" xr:uid="{00000000-0005-0000-0000-0000E7030000}"/>
    <cellStyle name="Comma 2 4 2 3" xfId="634" xr:uid="{00000000-0005-0000-0000-0000E8030000}"/>
    <cellStyle name="Comma 2 4 2 3 2" xfId="1113" xr:uid="{00000000-0005-0000-0000-0000E9030000}"/>
    <cellStyle name="Comma 2 4 2 3 2 2" xfId="2604" xr:uid="{00000000-0005-0000-0000-0000EA030000}"/>
    <cellStyle name="Comma 2 4 2 3 2 3" xfId="4047" xr:uid="{00000000-0005-0000-0000-0000EB030000}"/>
    <cellStyle name="Comma 2 4 2 3 2 4" xfId="5484" xr:uid="{00000000-0005-0000-0000-0000EC030000}"/>
    <cellStyle name="Comma 2 4 2 3 2 5" xfId="6930" xr:uid="{00000000-0005-0000-0000-0000ED030000}"/>
    <cellStyle name="Comma 2 4 2 3 2 6" xfId="8370" xr:uid="{00000000-0005-0000-0000-0000EE030000}"/>
    <cellStyle name="Comma 2 4 2 3 2 7" xfId="9804" xr:uid="{00000000-0005-0000-0000-0000EF030000}"/>
    <cellStyle name="Comma 2 4 2 3 3" xfId="1663" xr:uid="{00000000-0005-0000-0000-0000F0030000}"/>
    <cellStyle name="Comma 2 4 2 3 3 2" xfId="3134" xr:uid="{00000000-0005-0000-0000-0000F1030000}"/>
    <cellStyle name="Comma 2 4 2 3 3 3" xfId="4571" xr:uid="{00000000-0005-0000-0000-0000F2030000}"/>
    <cellStyle name="Comma 2 4 2 3 3 4" xfId="6008" xr:uid="{00000000-0005-0000-0000-0000F3030000}"/>
    <cellStyle name="Comma 2 4 2 3 3 5" xfId="7454" xr:uid="{00000000-0005-0000-0000-0000F4030000}"/>
    <cellStyle name="Comma 2 4 2 3 3 6" xfId="8895" xr:uid="{00000000-0005-0000-0000-0000F5030000}"/>
    <cellStyle name="Comma 2 4 2 3 3 7" xfId="10328" xr:uid="{00000000-0005-0000-0000-0000F6030000}"/>
    <cellStyle name="Comma 2 4 2 3 4" xfId="2133" xr:uid="{00000000-0005-0000-0000-0000F7030000}"/>
    <cellStyle name="Comma 2 4 2 3 5" xfId="3590" xr:uid="{00000000-0005-0000-0000-0000F8030000}"/>
    <cellStyle name="Comma 2 4 2 3 6" xfId="5027" xr:uid="{00000000-0005-0000-0000-0000F9030000}"/>
    <cellStyle name="Comma 2 4 2 3 7" xfId="6473" xr:uid="{00000000-0005-0000-0000-0000FA030000}"/>
    <cellStyle name="Comma 2 4 2 3 8" xfId="7912" xr:uid="{00000000-0005-0000-0000-0000FB030000}"/>
    <cellStyle name="Comma 2 4 2 3 9" xfId="9347" xr:uid="{00000000-0005-0000-0000-0000FC030000}"/>
    <cellStyle name="Comma 2 4 2 4" xfId="776" xr:uid="{00000000-0005-0000-0000-0000FD030000}"/>
    <cellStyle name="Comma 2 4 2 4 2" xfId="2267" xr:uid="{00000000-0005-0000-0000-0000FE030000}"/>
    <cellStyle name="Comma 2 4 2 4 3" xfId="3720" xr:uid="{00000000-0005-0000-0000-0000FF030000}"/>
    <cellStyle name="Comma 2 4 2 4 4" xfId="5157" xr:uid="{00000000-0005-0000-0000-000000040000}"/>
    <cellStyle name="Comma 2 4 2 4 5" xfId="6603" xr:uid="{00000000-0005-0000-0000-000001040000}"/>
    <cellStyle name="Comma 2 4 2 4 6" xfId="8043" xr:uid="{00000000-0005-0000-0000-000002040000}"/>
    <cellStyle name="Comma 2 4 2 4 7" xfId="9477" xr:uid="{00000000-0005-0000-0000-000003040000}"/>
    <cellStyle name="Comma 2 4 2 5" xfId="1332" xr:uid="{00000000-0005-0000-0000-000004040000}"/>
    <cellStyle name="Comma 2 4 2 5 2" xfId="2807" xr:uid="{00000000-0005-0000-0000-000005040000}"/>
    <cellStyle name="Comma 2 4 2 5 3" xfId="4244" xr:uid="{00000000-0005-0000-0000-000006040000}"/>
    <cellStyle name="Comma 2 4 2 5 4" xfId="5681" xr:uid="{00000000-0005-0000-0000-000007040000}"/>
    <cellStyle name="Comma 2 4 2 5 5" xfId="7127" xr:uid="{00000000-0005-0000-0000-000008040000}"/>
    <cellStyle name="Comma 2 4 2 5 6" xfId="8568" xr:uid="{00000000-0005-0000-0000-000009040000}"/>
    <cellStyle name="Comma 2 4 2 5 7" xfId="10001" xr:uid="{00000000-0005-0000-0000-00000A040000}"/>
    <cellStyle name="Comma 2 4 2 6" xfId="1806" xr:uid="{00000000-0005-0000-0000-00000B040000}"/>
    <cellStyle name="Comma 2 4 2 7" xfId="3263" xr:uid="{00000000-0005-0000-0000-00000C040000}"/>
    <cellStyle name="Comma 2 4 2 8" xfId="4700" xr:uid="{00000000-0005-0000-0000-00000D040000}"/>
    <cellStyle name="Comma 2 4 2 9" xfId="6146" xr:uid="{00000000-0005-0000-0000-00000E040000}"/>
    <cellStyle name="Comma 2 4 3" xfId="361" xr:uid="{00000000-0005-0000-0000-00000F040000}"/>
    <cellStyle name="Comma 2 4 3 2" xfId="843" xr:uid="{00000000-0005-0000-0000-000010040000}"/>
    <cellStyle name="Comma 2 4 3 2 2" xfId="2334" xr:uid="{00000000-0005-0000-0000-000011040000}"/>
    <cellStyle name="Comma 2 4 3 2 3" xfId="3785" xr:uid="{00000000-0005-0000-0000-000012040000}"/>
    <cellStyle name="Comma 2 4 3 2 4" xfId="5222" xr:uid="{00000000-0005-0000-0000-000013040000}"/>
    <cellStyle name="Comma 2 4 3 2 5" xfId="6668" xr:uid="{00000000-0005-0000-0000-000014040000}"/>
    <cellStyle name="Comma 2 4 3 2 6" xfId="8108" xr:uid="{00000000-0005-0000-0000-000015040000}"/>
    <cellStyle name="Comma 2 4 3 2 7" xfId="9542" xr:uid="{00000000-0005-0000-0000-000016040000}"/>
    <cellStyle name="Comma 2 4 3 3" xfId="1397" xr:uid="{00000000-0005-0000-0000-000017040000}"/>
    <cellStyle name="Comma 2 4 3 3 2" xfId="2872" xr:uid="{00000000-0005-0000-0000-000018040000}"/>
    <cellStyle name="Comma 2 4 3 3 3" xfId="4309" xr:uid="{00000000-0005-0000-0000-000019040000}"/>
    <cellStyle name="Comma 2 4 3 3 4" xfId="5746" xr:uid="{00000000-0005-0000-0000-00001A040000}"/>
    <cellStyle name="Comma 2 4 3 3 5" xfId="7192" xr:uid="{00000000-0005-0000-0000-00001B040000}"/>
    <cellStyle name="Comma 2 4 3 3 6" xfId="8633" xr:uid="{00000000-0005-0000-0000-00001C040000}"/>
    <cellStyle name="Comma 2 4 3 3 7" xfId="10066" xr:uid="{00000000-0005-0000-0000-00001D040000}"/>
    <cellStyle name="Comma 2 4 3 4" xfId="1871" xr:uid="{00000000-0005-0000-0000-00001E040000}"/>
    <cellStyle name="Comma 2 4 3 5" xfId="3328" xr:uid="{00000000-0005-0000-0000-00001F040000}"/>
    <cellStyle name="Comma 2 4 3 6" xfId="4765" xr:uid="{00000000-0005-0000-0000-000020040000}"/>
    <cellStyle name="Comma 2 4 3 7" xfId="6211" xr:uid="{00000000-0005-0000-0000-000021040000}"/>
    <cellStyle name="Comma 2 4 3 8" xfId="7649" xr:uid="{00000000-0005-0000-0000-000022040000}"/>
    <cellStyle name="Comma 2 4 3 9" xfId="9086" xr:uid="{00000000-0005-0000-0000-000023040000}"/>
    <cellStyle name="Comma 2 4 4" xfId="500" xr:uid="{00000000-0005-0000-0000-000024040000}"/>
    <cellStyle name="Comma 2 4 4 2" xfId="979" xr:uid="{00000000-0005-0000-0000-000025040000}"/>
    <cellStyle name="Comma 2 4 4 2 2" xfId="2470" xr:uid="{00000000-0005-0000-0000-000026040000}"/>
    <cellStyle name="Comma 2 4 4 2 3" xfId="3917" xr:uid="{00000000-0005-0000-0000-000027040000}"/>
    <cellStyle name="Comma 2 4 4 2 4" xfId="5354" xr:uid="{00000000-0005-0000-0000-000028040000}"/>
    <cellStyle name="Comma 2 4 4 2 5" xfId="6800" xr:uid="{00000000-0005-0000-0000-000029040000}"/>
    <cellStyle name="Comma 2 4 4 2 6" xfId="8240" xr:uid="{00000000-0005-0000-0000-00002A040000}"/>
    <cellStyle name="Comma 2 4 4 2 7" xfId="9674" xr:uid="{00000000-0005-0000-0000-00002B040000}"/>
    <cellStyle name="Comma 2 4 4 3" xfId="1531" xr:uid="{00000000-0005-0000-0000-00002C040000}"/>
    <cellStyle name="Comma 2 4 4 3 2" xfId="3004" xr:uid="{00000000-0005-0000-0000-00002D040000}"/>
    <cellStyle name="Comma 2 4 4 3 3" xfId="4441" xr:uid="{00000000-0005-0000-0000-00002E040000}"/>
    <cellStyle name="Comma 2 4 4 3 4" xfId="5878" xr:uid="{00000000-0005-0000-0000-00002F040000}"/>
    <cellStyle name="Comma 2 4 4 3 5" xfId="7324" xr:uid="{00000000-0005-0000-0000-000030040000}"/>
    <cellStyle name="Comma 2 4 4 3 6" xfId="8765" xr:uid="{00000000-0005-0000-0000-000031040000}"/>
    <cellStyle name="Comma 2 4 4 3 7" xfId="10198" xr:uid="{00000000-0005-0000-0000-000032040000}"/>
    <cellStyle name="Comma 2 4 4 4" xfId="2003" xr:uid="{00000000-0005-0000-0000-000033040000}"/>
    <cellStyle name="Comma 2 4 4 5" xfId="3460" xr:uid="{00000000-0005-0000-0000-000034040000}"/>
    <cellStyle name="Comma 2 4 4 6" xfId="4897" xr:uid="{00000000-0005-0000-0000-000035040000}"/>
    <cellStyle name="Comma 2 4 4 7" xfId="6343" xr:uid="{00000000-0005-0000-0000-000036040000}"/>
    <cellStyle name="Comma 2 4 4 8" xfId="7781" xr:uid="{00000000-0005-0000-0000-000037040000}"/>
    <cellStyle name="Comma 2 4 4 9" xfId="9218" xr:uid="{00000000-0005-0000-0000-000038040000}"/>
    <cellStyle name="Comma 2 4 5" xfId="565" xr:uid="{00000000-0005-0000-0000-000039040000}"/>
    <cellStyle name="Comma 2 4 5 2" xfId="1044" xr:uid="{00000000-0005-0000-0000-00003A040000}"/>
    <cellStyle name="Comma 2 4 5 2 2" xfId="2535" xr:uid="{00000000-0005-0000-0000-00003B040000}"/>
    <cellStyle name="Comma 2 4 5 2 3" xfId="3982" xr:uid="{00000000-0005-0000-0000-00003C040000}"/>
    <cellStyle name="Comma 2 4 5 2 4" xfId="5419" xr:uid="{00000000-0005-0000-0000-00003D040000}"/>
    <cellStyle name="Comma 2 4 5 2 5" xfId="6865" xr:uid="{00000000-0005-0000-0000-00003E040000}"/>
    <cellStyle name="Comma 2 4 5 2 6" xfId="8305" xr:uid="{00000000-0005-0000-0000-00003F040000}"/>
    <cellStyle name="Comma 2 4 5 2 7" xfId="9739" xr:uid="{00000000-0005-0000-0000-000040040000}"/>
    <cellStyle name="Comma 2 4 5 3" xfId="1596" xr:uid="{00000000-0005-0000-0000-000041040000}"/>
    <cellStyle name="Comma 2 4 5 3 2" xfId="3069" xr:uid="{00000000-0005-0000-0000-000042040000}"/>
    <cellStyle name="Comma 2 4 5 3 3" xfId="4506" xr:uid="{00000000-0005-0000-0000-000043040000}"/>
    <cellStyle name="Comma 2 4 5 3 4" xfId="5943" xr:uid="{00000000-0005-0000-0000-000044040000}"/>
    <cellStyle name="Comma 2 4 5 3 5" xfId="7389" xr:uid="{00000000-0005-0000-0000-000045040000}"/>
    <cellStyle name="Comma 2 4 5 3 6" xfId="8830" xr:uid="{00000000-0005-0000-0000-000046040000}"/>
    <cellStyle name="Comma 2 4 5 3 7" xfId="10263" xr:uid="{00000000-0005-0000-0000-000047040000}"/>
    <cellStyle name="Comma 2 4 5 4" xfId="2068" xr:uid="{00000000-0005-0000-0000-000048040000}"/>
    <cellStyle name="Comma 2 4 5 5" xfId="3525" xr:uid="{00000000-0005-0000-0000-000049040000}"/>
    <cellStyle name="Comma 2 4 5 6" xfId="4962" xr:uid="{00000000-0005-0000-0000-00004A040000}"/>
    <cellStyle name="Comma 2 4 5 7" xfId="6408" xr:uid="{00000000-0005-0000-0000-00004B040000}"/>
    <cellStyle name="Comma 2 4 5 8" xfId="7846" xr:uid="{00000000-0005-0000-0000-00004C040000}"/>
    <cellStyle name="Comma 2 4 5 9" xfId="9282" xr:uid="{00000000-0005-0000-0000-00004D040000}"/>
    <cellStyle name="Comma 2 4 6" xfId="707" xr:uid="{00000000-0005-0000-0000-00004E040000}"/>
    <cellStyle name="Comma 2 4 6 2" xfId="2198" xr:uid="{00000000-0005-0000-0000-00004F040000}"/>
    <cellStyle name="Comma 2 4 6 3" xfId="3655" xr:uid="{00000000-0005-0000-0000-000050040000}"/>
    <cellStyle name="Comma 2 4 6 4" xfId="5092" xr:uid="{00000000-0005-0000-0000-000051040000}"/>
    <cellStyle name="Comma 2 4 6 5" xfId="6538" xr:uid="{00000000-0005-0000-0000-000052040000}"/>
    <cellStyle name="Comma 2 4 6 6" xfId="7977" xr:uid="{00000000-0005-0000-0000-000053040000}"/>
    <cellStyle name="Comma 2 4 6 7" xfId="9412" xr:uid="{00000000-0005-0000-0000-000054040000}"/>
    <cellStyle name="Comma 2 4 7" xfId="1198" xr:uid="{00000000-0005-0000-0000-000055040000}"/>
    <cellStyle name="Comma 2 4 7 2" xfId="2677" xr:uid="{00000000-0005-0000-0000-000056040000}"/>
    <cellStyle name="Comma 2 4 7 3" xfId="4114" xr:uid="{00000000-0005-0000-0000-000057040000}"/>
    <cellStyle name="Comma 2 4 7 4" xfId="5551" xr:uid="{00000000-0005-0000-0000-000058040000}"/>
    <cellStyle name="Comma 2 4 7 5" xfId="6997" xr:uid="{00000000-0005-0000-0000-000059040000}"/>
    <cellStyle name="Comma 2 4 7 6" xfId="8438" xr:uid="{00000000-0005-0000-0000-00005A040000}"/>
    <cellStyle name="Comma 2 4 7 7" xfId="9871" xr:uid="{00000000-0005-0000-0000-00005B040000}"/>
    <cellStyle name="Comma 2 4 8" xfId="1263" xr:uid="{00000000-0005-0000-0000-00005C040000}"/>
    <cellStyle name="Comma 2 4 8 2" xfId="2742" xr:uid="{00000000-0005-0000-0000-00005D040000}"/>
    <cellStyle name="Comma 2 4 8 3" xfId="4179" xr:uid="{00000000-0005-0000-0000-00005E040000}"/>
    <cellStyle name="Comma 2 4 8 4" xfId="5616" xr:uid="{00000000-0005-0000-0000-00005F040000}"/>
    <cellStyle name="Comma 2 4 8 5" xfId="7062" xr:uid="{00000000-0005-0000-0000-000060040000}"/>
    <cellStyle name="Comma 2 4 8 6" xfId="8503" xr:uid="{00000000-0005-0000-0000-000061040000}"/>
    <cellStyle name="Comma 2 4 8 7" xfId="9936" xr:uid="{00000000-0005-0000-0000-000062040000}"/>
    <cellStyle name="Comma 2 4 9" xfId="1741" xr:uid="{00000000-0005-0000-0000-000063040000}"/>
    <cellStyle name="Comma 2 5" xfId="261" xr:uid="{00000000-0005-0000-0000-000064040000}"/>
    <cellStyle name="Comma 2 5 10" xfId="7550" xr:uid="{00000000-0005-0000-0000-000065040000}"/>
    <cellStyle name="Comma 2 5 11" xfId="8989" xr:uid="{00000000-0005-0000-0000-000066040000}"/>
    <cellStyle name="Comma 2 5 2" xfId="396" xr:uid="{00000000-0005-0000-0000-000067040000}"/>
    <cellStyle name="Comma 2 5 2 2" xfId="878" xr:uid="{00000000-0005-0000-0000-000068040000}"/>
    <cellStyle name="Comma 2 5 2 2 2" xfId="2369" xr:uid="{00000000-0005-0000-0000-000069040000}"/>
    <cellStyle name="Comma 2 5 2 2 3" xfId="3816" xr:uid="{00000000-0005-0000-0000-00006A040000}"/>
    <cellStyle name="Comma 2 5 2 2 4" xfId="5253" xr:uid="{00000000-0005-0000-0000-00006B040000}"/>
    <cellStyle name="Comma 2 5 2 2 5" xfId="6699" xr:uid="{00000000-0005-0000-0000-00006C040000}"/>
    <cellStyle name="Comma 2 5 2 2 6" xfId="8139" xr:uid="{00000000-0005-0000-0000-00006D040000}"/>
    <cellStyle name="Comma 2 5 2 2 7" xfId="9573" xr:uid="{00000000-0005-0000-0000-00006E040000}"/>
    <cellStyle name="Comma 2 5 2 3" xfId="1430" xr:uid="{00000000-0005-0000-0000-00006F040000}"/>
    <cellStyle name="Comma 2 5 2 3 2" xfId="2903" xr:uid="{00000000-0005-0000-0000-000070040000}"/>
    <cellStyle name="Comma 2 5 2 3 3" xfId="4340" xr:uid="{00000000-0005-0000-0000-000071040000}"/>
    <cellStyle name="Comma 2 5 2 3 4" xfId="5777" xr:uid="{00000000-0005-0000-0000-000072040000}"/>
    <cellStyle name="Comma 2 5 2 3 5" xfId="7223" xr:uid="{00000000-0005-0000-0000-000073040000}"/>
    <cellStyle name="Comma 2 5 2 3 6" xfId="8664" xr:uid="{00000000-0005-0000-0000-000074040000}"/>
    <cellStyle name="Comma 2 5 2 3 7" xfId="10097" xr:uid="{00000000-0005-0000-0000-000075040000}"/>
    <cellStyle name="Comma 2 5 2 4" xfId="1902" xr:uid="{00000000-0005-0000-0000-000076040000}"/>
    <cellStyle name="Comma 2 5 2 5" xfId="3359" xr:uid="{00000000-0005-0000-0000-000077040000}"/>
    <cellStyle name="Comma 2 5 2 6" xfId="4796" xr:uid="{00000000-0005-0000-0000-000078040000}"/>
    <cellStyle name="Comma 2 5 2 7" xfId="6242" xr:uid="{00000000-0005-0000-0000-000079040000}"/>
    <cellStyle name="Comma 2 5 2 8" xfId="7680" xr:uid="{00000000-0005-0000-0000-00007A040000}"/>
    <cellStyle name="Comma 2 5 2 9" xfId="9117" xr:uid="{00000000-0005-0000-0000-00007B040000}"/>
    <cellStyle name="Comma 2 5 3" xfId="600" xr:uid="{00000000-0005-0000-0000-00007C040000}"/>
    <cellStyle name="Comma 2 5 3 2" xfId="1079" xr:uid="{00000000-0005-0000-0000-00007D040000}"/>
    <cellStyle name="Comma 2 5 3 2 2" xfId="2570" xr:uid="{00000000-0005-0000-0000-00007E040000}"/>
    <cellStyle name="Comma 2 5 3 2 3" xfId="4013" xr:uid="{00000000-0005-0000-0000-00007F040000}"/>
    <cellStyle name="Comma 2 5 3 2 4" xfId="5450" xr:uid="{00000000-0005-0000-0000-000080040000}"/>
    <cellStyle name="Comma 2 5 3 2 5" xfId="6896" xr:uid="{00000000-0005-0000-0000-000081040000}"/>
    <cellStyle name="Comma 2 5 3 2 6" xfId="8336" xr:uid="{00000000-0005-0000-0000-000082040000}"/>
    <cellStyle name="Comma 2 5 3 2 7" xfId="9770" xr:uid="{00000000-0005-0000-0000-000083040000}"/>
    <cellStyle name="Comma 2 5 3 3" xfId="1629" xr:uid="{00000000-0005-0000-0000-000084040000}"/>
    <cellStyle name="Comma 2 5 3 3 2" xfId="3100" xr:uid="{00000000-0005-0000-0000-000085040000}"/>
    <cellStyle name="Comma 2 5 3 3 3" xfId="4537" xr:uid="{00000000-0005-0000-0000-000086040000}"/>
    <cellStyle name="Comma 2 5 3 3 4" xfId="5974" xr:uid="{00000000-0005-0000-0000-000087040000}"/>
    <cellStyle name="Comma 2 5 3 3 5" xfId="7420" xr:uid="{00000000-0005-0000-0000-000088040000}"/>
    <cellStyle name="Comma 2 5 3 3 6" xfId="8861" xr:uid="{00000000-0005-0000-0000-000089040000}"/>
    <cellStyle name="Comma 2 5 3 3 7" xfId="10294" xr:uid="{00000000-0005-0000-0000-00008A040000}"/>
    <cellStyle name="Comma 2 5 3 4" xfId="2099" xr:uid="{00000000-0005-0000-0000-00008B040000}"/>
    <cellStyle name="Comma 2 5 3 5" xfId="3556" xr:uid="{00000000-0005-0000-0000-00008C040000}"/>
    <cellStyle name="Comma 2 5 3 6" xfId="4993" xr:uid="{00000000-0005-0000-0000-00008D040000}"/>
    <cellStyle name="Comma 2 5 3 7" xfId="6439" xr:uid="{00000000-0005-0000-0000-00008E040000}"/>
    <cellStyle name="Comma 2 5 3 8" xfId="7878" xr:uid="{00000000-0005-0000-0000-00008F040000}"/>
    <cellStyle name="Comma 2 5 3 9" xfId="9313" xr:uid="{00000000-0005-0000-0000-000090040000}"/>
    <cellStyle name="Comma 2 5 4" xfId="742" xr:uid="{00000000-0005-0000-0000-000091040000}"/>
    <cellStyle name="Comma 2 5 4 2" xfId="2233" xr:uid="{00000000-0005-0000-0000-000092040000}"/>
    <cellStyle name="Comma 2 5 4 3" xfId="3686" xr:uid="{00000000-0005-0000-0000-000093040000}"/>
    <cellStyle name="Comma 2 5 4 4" xfId="5123" xr:uid="{00000000-0005-0000-0000-000094040000}"/>
    <cellStyle name="Comma 2 5 4 5" xfId="6569" xr:uid="{00000000-0005-0000-0000-000095040000}"/>
    <cellStyle name="Comma 2 5 4 6" xfId="8009" xr:uid="{00000000-0005-0000-0000-000096040000}"/>
    <cellStyle name="Comma 2 5 4 7" xfId="9443" xr:uid="{00000000-0005-0000-0000-000097040000}"/>
    <cellStyle name="Comma 2 5 5" xfId="1298" xr:uid="{00000000-0005-0000-0000-000098040000}"/>
    <cellStyle name="Comma 2 5 5 2" xfId="2773" xr:uid="{00000000-0005-0000-0000-000099040000}"/>
    <cellStyle name="Comma 2 5 5 3" xfId="4210" xr:uid="{00000000-0005-0000-0000-00009A040000}"/>
    <cellStyle name="Comma 2 5 5 4" xfId="5647" xr:uid="{00000000-0005-0000-0000-00009B040000}"/>
    <cellStyle name="Comma 2 5 5 5" xfId="7093" xr:uid="{00000000-0005-0000-0000-00009C040000}"/>
    <cellStyle name="Comma 2 5 5 6" xfId="8534" xr:uid="{00000000-0005-0000-0000-00009D040000}"/>
    <cellStyle name="Comma 2 5 5 7" xfId="9967" xr:uid="{00000000-0005-0000-0000-00009E040000}"/>
    <cellStyle name="Comma 2 5 6" xfId="1772" xr:uid="{00000000-0005-0000-0000-00009F040000}"/>
    <cellStyle name="Comma 2 5 7" xfId="3229" xr:uid="{00000000-0005-0000-0000-0000A0040000}"/>
    <cellStyle name="Comma 2 5 8" xfId="4666" xr:uid="{00000000-0005-0000-0000-0000A1040000}"/>
    <cellStyle name="Comma 2 5 9" xfId="6112" xr:uid="{00000000-0005-0000-0000-0000A2040000}"/>
    <cellStyle name="Comma 2 6" xfId="327" xr:uid="{00000000-0005-0000-0000-0000A3040000}"/>
    <cellStyle name="Comma 2 6 2" xfId="809" xr:uid="{00000000-0005-0000-0000-0000A4040000}"/>
    <cellStyle name="Comma 2 6 2 2" xfId="2300" xr:uid="{00000000-0005-0000-0000-0000A5040000}"/>
    <cellStyle name="Comma 2 6 2 3" xfId="3751" xr:uid="{00000000-0005-0000-0000-0000A6040000}"/>
    <cellStyle name="Comma 2 6 2 4" xfId="5188" xr:uid="{00000000-0005-0000-0000-0000A7040000}"/>
    <cellStyle name="Comma 2 6 2 5" xfId="6634" xr:uid="{00000000-0005-0000-0000-0000A8040000}"/>
    <cellStyle name="Comma 2 6 2 6" xfId="8074" xr:uid="{00000000-0005-0000-0000-0000A9040000}"/>
    <cellStyle name="Comma 2 6 2 7" xfId="9508" xr:uid="{00000000-0005-0000-0000-0000AA040000}"/>
    <cellStyle name="Comma 2 6 3" xfId="1363" xr:uid="{00000000-0005-0000-0000-0000AB040000}"/>
    <cellStyle name="Comma 2 6 3 2" xfId="2838" xr:uid="{00000000-0005-0000-0000-0000AC040000}"/>
    <cellStyle name="Comma 2 6 3 3" xfId="4275" xr:uid="{00000000-0005-0000-0000-0000AD040000}"/>
    <cellStyle name="Comma 2 6 3 4" xfId="5712" xr:uid="{00000000-0005-0000-0000-0000AE040000}"/>
    <cellStyle name="Comma 2 6 3 5" xfId="7158" xr:uid="{00000000-0005-0000-0000-0000AF040000}"/>
    <cellStyle name="Comma 2 6 3 6" xfId="8599" xr:uid="{00000000-0005-0000-0000-0000B0040000}"/>
    <cellStyle name="Comma 2 6 3 7" xfId="10032" xr:uid="{00000000-0005-0000-0000-0000B1040000}"/>
    <cellStyle name="Comma 2 6 4" xfId="1837" xr:uid="{00000000-0005-0000-0000-0000B2040000}"/>
    <cellStyle name="Comma 2 6 5" xfId="3294" xr:uid="{00000000-0005-0000-0000-0000B3040000}"/>
    <cellStyle name="Comma 2 6 6" xfId="4731" xr:uid="{00000000-0005-0000-0000-0000B4040000}"/>
    <cellStyle name="Comma 2 6 7" xfId="6177" xr:uid="{00000000-0005-0000-0000-0000B5040000}"/>
    <cellStyle name="Comma 2 6 8" xfId="7615" xr:uid="{00000000-0005-0000-0000-0000B6040000}"/>
    <cellStyle name="Comma 2 6 9" xfId="9053" xr:uid="{00000000-0005-0000-0000-0000B7040000}"/>
    <cellStyle name="Comma 2 7" xfId="458" xr:uid="{00000000-0005-0000-0000-0000B8040000}"/>
    <cellStyle name="Comma 2 7 2" xfId="938" xr:uid="{00000000-0005-0000-0000-0000B9040000}"/>
    <cellStyle name="Comma 2 7 2 2" xfId="2429" xr:uid="{00000000-0005-0000-0000-0000BA040000}"/>
    <cellStyle name="Comma 2 7 2 3" xfId="3876" xr:uid="{00000000-0005-0000-0000-0000BB040000}"/>
    <cellStyle name="Comma 2 7 2 4" xfId="5313" xr:uid="{00000000-0005-0000-0000-0000BC040000}"/>
    <cellStyle name="Comma 2 7 2 5" xfId="6759" xr:uid="{00000000-0005-0000-0000-0000BD040000}"/>
    <cellStyle name="Comma 2 7 2 6" xfId="8199" xr:uid="{00000000-0005-0000-0000-0000BE040000}"/>
    <cellStyle name="Comma 2 7 2 7" xfId="9633" xr:uid="{00000000-0005-0000-0000-0000BF040000}"/>
    <cellStyle name="Comma 2 7 3" xfId="1490" xr:uid="{00000000-0005-0000-0000-0000C0040000}"/>
    <cellStyle name="Comma 2 7 3 2" xfId="2963" xr:uid="{00000000-0005-0000-0000-0000C1040000}"/>
    <cellStyle name="Comma 2 7 3 3" xfId="4400" xr:uid="{00000000-0005-0000-0000-0000C2040000}"/>
    <cellStyle name="Comma 2 7 3 4" xfId="5837" xr:uid="{00000000-0005-0000-0000-0000C3040000}"/>
    <cellStyle name="Comma 2 7 3 5" xfId="7283" xr:uid="{00000000-0005-0000-0000-0000C4040000}"/>
    <cellStyle name="Comma 2 7 3 6" xfId="8724" xr:uid="{00000000-0005-0000-0000-0000C5040000}"/>
    <cellStyle name="Comma 2 7 3 7" xfId="10157" xr:uid="{00000000-0005-0000-0000-0000C6040000}"/>
    <cellStyle name="Comma 2 7 4" xfId="1962" xr:uid="{00000000-0005-0000-0000-0000C7040000}"/>
    <cellStyle name="Comma 2 7 5" xfId="3419" xr:uid="{00000000-0005-0000-0000-0000C8040000}"/>
    <cellStyle name="Comma 2 7 6" xfId="4856" xr:uid="{00000000-0005-0000-0000-0000C9040000}"/>
    <cellStyle name="Comma 2 7 7" xfId="6302" xr:uid="{00000000-0005-0000-0000-0000CA040000}"/>
    <cellStyle name="Comma 2 7 8" xfId="7740" xr:uid="{00000000-0005-0000-0000-0000CB040000}"/>
    <cellStyle name="Comma 2 7 9" xfId="9177" xr:uid="{00000000-0005-0000-0000-0000CC040000}"/>
    <cellStyle name="Comma 2 8" xfId="531" xr:uid="{00000000-0005-0000-0000-0000CD040000}"/>
    <cellStyle name="Comma 2 8 2" xfId="1010" xr:uid="{00000000-0005-0000-0000-0000CE040000}"/>
    <cellStyle name="Comma 2 8 2 2" xfId="2501" xr:uid="{00000000-0005-0000-0000-0000CF040000}"/>
    <cellStyle name="Comma 2 8 2 3" xfId="3948" xr:uid="{00000000-0005-0000-0000-0000D0040000}"/>
    <cellStyle name="Comma 2 8 2 4" xfId="5385" xr:uid="{00000000-0005-0000-0000-0000D1040000}"/>
    <cellStyle name="Comma 2 8 2 5" xfId="6831" xr:uid="{00000000-0005-0000-0000-0000D2040000}"/>
    <cellStyle name="Comma 2 8 2 6" xfId="8271" xr:uid="{00000000-0005-0000-0000-0000D3040000}"/>
    <cellStyle name="Comma 2 8 2 7" xfId="9705" xr:uid="{00000000-0005-0000-0000-0000D4040000}"/>
    <cellStyle name="Comma 2 8 3" xfId="1562" xr:uid="{00000000-0005-0000-0000-0000D5040000}"/>
    <cellStyle name="Comma 2 8 3 2" xfId="3035" xr:uid="{00000000-0005-0000-0000-0000D6040000}"/>
    <cellStyle name="Comma 2 8 3 3" xfId="4472" xr:uid="{00000000-0005-0000-0000-0000D7040000}"/>
    <cellStyle name="Comma 2 8 3 4" xfId="5909" xr:uid="{00000000-0005-0000-0000-0000D8040000}"/>
    <cellStyle name="Comma 2 8 3 5" xfId="7355" xr:uid="{00000000-0005-0000-0000-0000D9040000}"/>
    <cellStyle name="Comma 2 8 3 6" xfId="8796" xr:uid="{00000000-0005-0000-0000-0000DA040000}"/>
    <cellStyle name="Comma 2 8 3 7" xfId="10229" xr:uid="{00000000-0005-0000-0000-0000DB040000}"/>
    <cellStyle name="Comma 2 8 4" xfId="2034" xr:uid="{00000000-0005-0000-0000-0000DC040000}"/>
    <cellStyle name="Comma 2 8 5" xfId="3491" xr:uid="{00000000-0005-0000-0000-0000DD040000}"/>
    <cellStyle name="Comma 2 8 6" xfId="4928" xr:uid="{00000000-0005-0000-0000-0000DE040000}"/>
    <cellStyle name="Comma 2 8 7" xfId="6374" xr:uid="{00000000-0005-0000-0000-0000DF040000}"/>
    <cellStyle name="Comma 2 8 8" xfId="7812" xr:uid="{00000000-0005-0000-0000-0000E0040000}"/>
    <cellStyle name="Comma 2 8 9" xfId="9249" xr:uid="{00000000-0005-0000-0000-0000E1040000}"/>
    <cellStyle name="Comma 2 9" xfId="673" xr:uid="{00000000-0005-0000-0000-0000E2040000}"/>
    <cellStyle name="Comma 2 9 2" xfId="2164" xr:uid="{00000000-0005-0000-0000-0000E3040000}"/>
    <cellStyle name="Comma 2 9 3" xfId="3621" xr:uid="{00000000-0005-0000-0000-0000E4040000}"/>
    <cellStyle name="Comma 2 9 4" xfId="5058" xr:uid="{00000000-0005-0000-0000-0000E5040000}"/>
    <cellStyle name="Comma 2 9 5" xfId="6504" xr:uid="{00000000-0005-0000-0000-0000E6040000}"/>
    <cellStyle name="Comma 2 9 6" xfId="7943" xr:uid="{00000000-0005-0000-0000-0000E7040000}"/>
    <cellStyle name="Comma 2 9 7" xfId="9378" xr:uid="{00000000-0005-0000-0000-0000E8040000}"/>
    <cellStyle name="Comma 3" xfId="14" xr:uid="{00000000-0005-0000-0000-0000E9040000}"/>
    <cellStyle name="Comma 3 2" xfId="78" xr:uid="{00000000-0005-0000-0000-0000EA040000}"/>
    <cellStyle name="Comma 3 2 2" xfId="183" xr:uid="{00000000-0005-0000-0000-0000EB040000}"/>
    <cellStyle name="Comma 3 3" xfId="79" xr:uid="{00000000-0005-0000-0000-0000EC040000}"/>
    <cellStyle name="Comma 4" xfId="5" xr:uid="{00000000-0005-0000-0000-0000ED040000}"/>
    <cellStyle name="Comma 4 10" xfId="3168" xr:uid="{00000000-0005-0000-0000-0000EE040000}"/>
    <cellStyle name="Comma 4 11" xfId="4605" xr:uid="{00000000-0005-0000-0000-0000EF040000}"/>
    <cellStyle name="Comma 4 12" xfId="6051" xr:uid="{00000000-0005-0000-0000-0000F0040000}"/>
    <cellStyle name="Comma 4 13" xfId="7489" xr:uid="{00000000-0005-0000-0000-0000F1040000}"/>
    <cellStyle name="Comma 4 14" xfId="8929" xr:uid="{00000000-0005-0000-0000-0000F2040000}"/>
    <cellStyle name="Comma 4 2" xfId="82" xr:uid="{00000000-0005-0000-0000-0000F3040000}"/>
    <cellStyle name="Comma 4 2 2" xfId="177" xr:uid="{00000000-0005-0000-0000-0000F4040000}"/>
    <cellStyle name="Comma 4 2 2 10" xfId="3185" xr:uid="{00000000-0005-0000-0000-0000F5040000}"/>
    <cellStyle name="Comma 4 2 2 11" xfId="4622" xr:uid="{00000000-0005-0000-0000-0000F6040000}"/>
    <cellStyle name="Comma 4 2 2 12" xfId="6068" xr:uid="{00000000-0005-0000-0000-0000F7040000}"/>
    <cellStyle name="Comma 4 2 2 13" xfId="7506" xr:uid="{00000000-0005-0000-0000-0000F8040000}"/>
    <cellStyle name="Comma 4 2 2 14" xfId="8946" xr:uid="{00000000-0005-0000-0000-0000F9040000}"/>
    <cellStyle name="Comma 4 2 2 2" xfId="279" xr:uid="{00000000-0005-0000-0000-0000FA040000}"/>
    <cellStyle name="Comma 4 2 2 2 10" xfId="7571" xr:uid="{00000000-0005-0000-0000-0000FB040000}"/>
    <cellStyle name="Comma 4 2 2 2 11" xfId="9010" xr:uid="{00000000-0005-0000-0000-0000FC040000}"/>
    <cellStyle name="Comma 4 2 2 2 2" xfId="417" xr:uid="{00000000-0005-0000-0000-0000FD040000}"/>
    <cellStyle name="Comma 4 2 2 2 2 2" xfId="899" xr:uid="{00000000-0005-0000-0000-0000FE040000}"/>
    <cellStyle name="Comma 4 2 2 2 2 2 2" xfId="2390" xr:uid="{00000000-0005-0000-0000-0000FF040000}"/>
    <cellStyle name="Comma 4 2 2 2 2 2 3" xfId="3837" xr:uid="{00000000-0005-0000-0000-000000050000}"/>
    <cellStyle name="Comma 4 2 2 2 2 2 4" xfId="5274" xr:uid="{00000000-0005-0000-0000-000001050000}"/>
    <cellStyle name="Comma 4 2 2 2 2 2 5" xfId="6720" xr:uid="{00000000-0005-0000-0000-000002050000}"/>
    <cellStyle name="Comma 4 2 2 2 2 2 6" xfId="8160" xr:uid="{00000000-0005-0000-0000-000003050000}"/>
    <cellStyle name="Comma 4 2 2 2 2 2 7" xfId="9594" xr:uid="{00000000-0005-0000-0000-000004050000}"/>
    <cellStyle name="Comma 4 2 2 2 2 3" xfId="1451" xr:uid="{00000000-0005-0000-0000-000005050000}"/>
    <cellStyle name="Comma 4 2 2 2 2 3 2" xfId="2924" xr:uid="{00000000-0005-0000-0000-000006050000}"/>
    <cellStyle name="Comma 4 2 2 2 2 3 3" xfId="4361" xr:uid="{00000000-0005-0000-0000-000007050000}"/>
    <cellStyle name="Comma 4 2 2 2 2 3 4" xfId="5798" xr:uid="{00000000-0005-0000-0000-000008050000}"/>
    <cellStyle name="Comma 4 2 2 2 2 3 5" xfId="7244" xr:uid="{00000000-0005-0000-0000-000009050000}"/>
    <cellStyle name="Comma 4 2 2 2 2 3 6" xfId="8685" xr:uid="{00000000-0005-0000-0000-00000A050000}"/>
    <cellStyle name="Comma 4 2 2 2 2 3 7" xfId="10118" xr:uid="{00000000-0005-0000-0000-00000B050000}"/>
    <cellStyle name="Comma 4 2 2 2 2 4" xfId="1923" xr:uid="{00000000-0005-0000-0000-00000C050000}"/>
    <cellStyle name="Comma 4 2 2 2 2 5" xfId="3380" xr:uid="{00000000-0005-0000-0000-00000D050000}"/>
    <cellStyle name="Comma 4 2 2 2 2 6" xfId="4817" xr:uid="{00000000-0005-0000-0000-00000E050000}"/>
    <cellStyle name="Comma 4 2 2 2 2 7" xfId="6263" xr:uid="{00000000-0005-0000-0000-00000F050000}"/>
    <cellStyle name="Comma 4 2 2 2 2 8" xfId="7701" xr:uid="{00000000-0005-0000-0000-000010050000}"/>
    <cellStyle name="Comma 4 2 2 2 2 9" xfId="9138" xr:uid="{00000000-0005-0000-0000-000011050000}"/>
    <cellStyle name="Comma 4 2 2 2 3" xfId="621" xr:uid="{00000000-0005-0000-0000-000012050000}"/>
    <cellStyle name="Comma 4 2 2 2 3 2" xfId="1100" xr:uid="{00000000-0005-0000-0000-000013050000}"/>
    <cellStyle name="Comma 4 2 2 2 3 2 2" xfId="2591" xr:uid="{00000000-0005-0000-0000-000014050000}"/>
    <cellStyle name="Comma 4 2 2 2 3 2 3" xfId="4034" xr:uid="{00000000-0005-0000-0000-000015050000}"/>
    <cellStyle name="Comma 4 2 2 2 3 2 4" xfId="5471" xr:uid="{00000000-0005-0000-0000-000016050000}"/>
    <cellStyle name="Comma 4 2 2 2 3 2 5" xfId="6917" xr:uid="{00000000-0005-0000-0000-000017050000}"/>
    <cellStyle name="Comma 4 2 2 2 3 2 6" xfId="8357" xr:uid="{00000000-0005-0000-0000-000018050000}"/>
    <cellStyle name="Comma 4 2 2 2 3 2 7" xfId="9791" xr:uid="{00000000-0005-0000-0000-000019050000}"/>
    <cellStyle name="Comma 4 2 2 2 3 3" xfId="1650" xr:uid="{00000000-0005-0000-0000-00001A050000}"/>
    <cellStyle name="Comma 4 2 2 2 3 3 2" xfId="3121" xr:uid="{00000000-0005-0000-0000-00001B050000}"/>
    <cellStyle name="Comma 4 2 2 2 3 3 3" xfId="4558" xr:uid="{00000000-0005-0000-0000-00001C050000}"/>
    <cellStyle name="Comma 4 2 2 2 3 3 4" xfId="5995" xr:uid="{00000000-0005-0000-0000-00001D050000}"/>
    <cellStyle name="Comma 4 2 2 2 3 3 5" xfId="7441" xr:uid="{00000000-0005-0000-0000-00001E050000}"/>
    <cellStyle name="Comma 4 2 2 2 3 3 6" xfId="8882" xr:uid="{00000000-0005-0000-0000-00001F050000}"/>
    <cellStyle name="Comma 4 2 2 2 3 3 7" xfId="10315" xr:uid="{00000000-0005-0000-0000-000020050000}"/>
    <cellStyle name="Comma 4 2 2 2 3 4" xfId="2120" xr:uid="{00000000-0005-0000-0000-000021050000}"/>
    <cellStyle name="Comma 4 2 2 2 3 5" xfId="3577" xr:uid="{00000000-0005-0000-0000-000022050000}"/>
    <cellStyle name="Comma 4 2 2 2 3 6" xfId="5014" xr:uid="{00000000-0005-0000-0000-000023050000}"/>
    <cellStyle name="Comma 4 2 2 2 3 7" xfId="6460" xr:uid="{00000000-0005-0000-0000-000024050000}"/>
    <cellStyle name="Comma 4 2 2 2 3 8" xfId="7899" xr:uid="{00000000-0005-0000-0000-000025050000}"/>
    <cellStyle name="Comma 4 2 2 2 3 9" xfId="9334" xr:uid="{00000000-0005-0000-0000-000026050000}"/>
    <cellStyle name="Comma 4 2 2 2 4" xfId="763" xr:uid="{00000000-0005-0000-0000-000027050000}"/>
    <cellStyle name="Comma 4 2 2 2 4 2" xfId="2254" xr:uid="{00000000-0005-0000-0000-000028050000}"/>
    <cellStyle name="Comma 4 2 2 2 4 3" xfId="3707" xr:uid="{00000000-0005-0000-0000-000029050000}"/>
    <cellStyle name="Comma 4 2 2 2 4 4" xfId="5144" xr:uid="{00000000-0005-0000-0000-00002A050000}"/>
    <cellStyle name="Comma 4 2 2 2 4 5" xfId="6590" xr:uid="{00000000-0005-0000-0000-00002B050000}"/>
    <cellStyle name="Comma 4 2 2 2 4 6" xfId="8030" xr:uid="{00000000-0005-0000-0000-00002C050000}"/>
    <cellStyle name="Comma 4 2 2 2 4 7" xfId="9464" xr:uid="{00000000-0005-0000-0000-00002D050000}"/>
    <cellStyle name="Comma 4 2 2 2 5" xfId="1319" xr:uid="{00000000-0005-0000-0000-00002E050000}"/>
    <cellStyle name="Comma 4 2 2 2 5 2" xfId="2794" xr:uid="{00000000-0005-0000-0000-00002F050000}"/>
    <cellStyle name="Comma 4 2 2 2 5 3" xfId="4231" xr:uid="{00000000-0005-0000-0000-000030050000}"/>
    <cellStyle name="Comma 4 2 2 2 5 4" xfId="5668" xr:uid="{00000000-0005-0000-0000-000031050000}"/>
    <cellStyle name="Comma 4 2 2 2 5 5" xfId="7114" xr:uid="{00000000-0005-0000-0000-000032050000}"/>
    <cellStyle name="Comma 4 2 2 2 5 6" xfId="8555" xr:uid="{00000000-0005-0000-0000-000033050000}"/>
    <cellStyle name="Comma 4 2 2 2 5 7" xfId="9988" xr:uid="{00000000-0005-0000-0000-000034050000}"/>
    <cellStyle name="Comma 4 2 2 2 6" xfId="1793" xr:uid="{00000000-0005-0000-0000-000035050000}"/>
    <cellStyle name="Comma 4 2 2 2 7" xfId="3250" xr:uid="{00000000-0005-0000-0000-000036050000}"/>
    <cellStyle name="Comma 4 2 2 2 8" xfId="4687" xr:uid="{00000000-0005-0000-0000-000037050000}"/>
    <cellStyle name="Comma 4 2 2 2 9" xfId="6133" xr:uid="{00000000-0005-0000-0000-000038050000}"/>
    <cellStyle name="Comma 4 2 2 3" xfId="348" xr:uid="{00000000-0005-0000-0000-000039050000}"/>
    <cellStyle name="Comma 4 2 2 3 2" xfId="830" xr:uid="{00000000-0005-0000-0000-00003A050000}"/>
    <cellStyle name="Comma 4 2 2 3 2 2" xfId="2321" xr:uid="{00000000-0005-0000-0000-00003B050000}"/>
    <cellStyle name="Comma 4 2 2 3 2 3" xfId="3772" xr:uid="{00000000-0005-0000-0000-00003C050000}"/>
    <cellStyle name="Comma 4 2 2 3 2 4" xfId="5209" xr:uid="{00000000-0005-0000-0000-00003D050000}"/>
    <cellStyle name="Comma 4 2 2 3 2 5" xfId="6655" xr:uid="{00000000-0005-0000-0000-00003E050000}"/>
    <cellStyle name="Comma 4 2 2 3 2 6" xfId="8095" xr:uid="{00000000-0005-0000-0000-00003F050000}"/>
    <cellStyle name="Comma 4 2 2 3 2 7" xfId="9529" xr:uid="{00000000-0005-0000-0000-000040050000}"/>
    <cellStyle name="Comma 4 2 2 3 3" xfId="1384" xr:uid="{00000000-0005-0000-0000-000041050000}"/>
    <cellStyle name="Comma 4 2 2 3 3 2" xfId="2859" xr:uid="{00000000-0005-0000-0000-000042050000}"/>
    <cellStyle name="Comma 4 2 2 3 3 3" xfId="4296" xr:uid="{00000000-0005-0000-0000-000043050000}"/>
    <cellStyle name="Comma 4 2 2 3 3 4" xfId="5733" xr:uid="{00000000-0005-0000-0000-000044050000}"/>
    <cellStyle name="Comma 4 2 2 3 3 5" xfId="7179" xr:uid="{00000000-0005-0000-0000-000045050000}"/>
    <cellStyle name="Comma 4 2 2 3 3 6" xfId="8620" xr:uid="{00000000-0005-0000-0000-000046050000}"/>
    <cellStyle name="Comma 4 2 2 3 3 7" xfId="10053" xr:uid="{00000000-0005-0000-0000-000047050000}"/>
    <cellStyle name="Comma 4 2 2 3 4" xfId="1858" xr:uid="{00000000-0005-0000-0000-000048050000}"/>
    <cellStyle name="Comma 4 2 2 3 5" xfId="3315" xr:uid="{00000000-0005-0000-0000-000049050000}"/>
    <cellStyle name="Comma 4 2 2 3 6" xfId="4752" xr:uid="{00000000-0005-0000-0000-00004A050000}"/>
    <cellStyle name="Comma 4 2 2 3 7" xfId="6198" xr:uid="{00000000-0005-0000-0000-00004B050000}"/>
    <cellStyle name="Comma 4 2 2 3 8" xfId="7636" xr:uid="{00000000-0005-0000-0000-00004C050000}"/>
    <cellStyle name="Comma 4 2 2 3 9" xfId="9073" xr:uid="{00000000-0005-0000-0000-00004D050000}"/>
    <cellStyle name="Comma 4 2 2 4" xfId="487" xr:uid="{00000000-0005-0000-0000-00004E050000}"/>
    <cellStyle name="Comma 4 2 2 4 2" xfId="966" xr:uid="{00000000-0005-0000-0000-00004F050000}"/>
    <cellStyle name="Comma 4 2 2 4 2 2" xfId="2457" xr:uid="{00000000-0005-0000-0000-000050050000}"/>
    <cellStyle name="Comma 4 2 2 4 2 3" xfId="3904" xr:uid="{00000000-0005-0000-0000-000051050000}"/>
    <cellStyle name="Comma 4 2 2 4 2 4" xfId="5341" xr:uid="{00000000-0005-0000-0000-000052050000}"/>
    <cellStyle name="Comma 4 2 2 4 2 5" xfId="6787" xr:uid="{00000000-0005-0000-0000-000053050000}"/>
    <cellStyle name="Comma 4 2 2 4 2 6" xfId="8227" xr:uid="{00000000-0005-0000-0000-000054050000}"/>
    <cellStyle name="Comma 4 2 2 4 2 7" xfId="9661" xr:uid="{00000000-0005-0000-0000-000055050000}"/>
    <cellStyle name="Comma 4 2 2 4 3" xfId="1518" xr:uid="{00000000-0005-0000-0000-000056050000}"/>
    <cellStyle name="Comma 4 2 2 4 3 2" xfId="2991" xr:uid="{00000000-0005-0000-0000-000057050000}"/>
    <cellStyle name="Comma 4 2 2 4 3 3" xfId="4428" xr:uid="{00000000-0005-0000-0000-000058050000}"/>
    <cellStyle name="Comma 4 2 2 4 3 4" xfId="5865" xr:uid="{00000000-0005-0000-0000-000059050000}"/>
    <cellStyle name="Comma 4 2 2 4 3 5" xfId="7311" xr:uid="{00000000-0005-0000-0000-00005A050000}"/>
    <cellStyle name="Comma 4 2 2 4 3 6" xfId="8752" xr:uid="{00000000-0005-0000-0000-00005B050000}"/>
    <cellStyle name="Comma 4 2 2 4 3 7" xfId="10185" xr:uid="{00000000-0005-0000-0000-00005C050000}"/>
    <cellStyle name="Comma 4 2 2 4 4" xfId="1990" xr:uid="{00000000-0005-0000-0000-00005D050000}"/>
    <cellStyle name="Comma 4 2 2 4 5" xfId="3447" xr:uid="{00000000-0005-0000-0000-00005E050000}"/>
    <cellStyle name="Comma 4 2 2 4 6" xfId="4884" xr:uid="{00000000-0005-0000-0000-00005F050000}"/>
    <cellStyle name="Comma 4 2 2 4 7" xfId="6330" xr:uid="{00000000-0005-0000-0000-000060050000}"/>
    <cellStyle name="Comma 4 2 2 4 8" xfId="7768" xr:uid="{00000000-0005-0000-0000-000061050000}"/>
    <cellStyle name="Comma 4 2 2 4 9" xfId="9205" xr:uid="{00000000-0005-0000-0000-000062050000}"/>
    <cellStyle name="Comma 4 2 2 5" xfId="552" xr:uid="{00000000-0005-0000-0000-000063050000}"/>
    <cellStyle name="Comma 4 2 2 5 2" xfId="1031" xr:uid="{00000000-0005-0000-0000-000064050000}"/>
    <cellStyle name="Comma 4 2 2 5 2 2" xfId="2522" xr:uid="{00000000-0005-0000-0000-000065050000}"/>
    <cellStyle name="Comma 4 2 2 5 2 3" xfId="3969" xr:uid="{00000000-0005-0000-0000-000066050000}"/>
    <cellStyle name="Comma 4 2 2 5 2 4" xfId="5406" xr:uid="{00000000-0005-0000-0000-000067050000}"/>
    <cellStyle name="Comma 4 2 2 5 2 5" xfId="6852" xr:uid="{00000000-0005-0000-0000-000068050000}"/>
    <cellStyle name="Comma 4 2 2 5 2 6" xfId="8292" xr:uid="{00000000-0005-0000-0000-000069050000}"/>
    <cellStyle name="Comma 4 2 2 5 2 7" xfId="9726" xr:uid="{00000000-0005-0000-0000-00006A050000}"/>
    <cellStyle name="Comma 4 2 2 5 3" xfId="1583" xr:uid="{00000000-0005-0000-0000-00006B050000}"/>
    <cellStyle name="Comma 4 2 2 5 3 2" xfId="3056" xr:uid="{00000000-0005-0000-0000-00006C050000}"/>
    <cellStyle name="Comma 4 2 2 5 3 3" xfId="4493" xr:uid="{00000000-0005-0000-0000-00006D050000}"/>
    <cellStyle name="Comma 4 2 2 5 3 4" xfId="5930" xr:uid="{00000000-0005-0000-0000-00006E050000}"/>
    <cellStyle name="Comma 4 2 2 5 3 5" xfId="7376" xr:uid="{00000000-0005-0000-0000-00006F050000}"/>
    <cellStyle name="Comma 4 2 2 5 3 6" xfId="8817" xr:uid="{00000000-0005-0000-0000-000070050000}"/>
    <cellStyle name="Comma 4 2 2 5 3 7" xfId="10250" xr:uid="{00000000-0005-0000-0000-000071050000}"/>
    <cellStyle name="Comma 4 2 2 5 4" xfId="2055" xr:uid="{00000000-0005-0000-0000-000072050000}"/>
    <cellStyle name="Comma 4 2 2 5 5" xfId="3512" xr:uid="{00000000-0005-0000-0000-000073050000}"/>
    <cellStyle name="Comma 4 2 2 5 6" xfId="4949" xr:uid="{00000000-0005-0000-0000-000074050000}"/>
    <cellStyle name="Comma 4 2 2 5 7" xfId="6395" xr:uid="{00000000-0005-0000-0000-000075050000}"/>
    <cellStyle name="Comma 4 2 2 5 8" xfId="7833" xr:uid="{00000000-0005-0000-0000-000076050000}"/>
    <cellStyle name="Comma 4 2 2 5 9" xfId="9269" xr:uid="{00000000-0005-0000-0000-000077050000}"/>
    <cellStyle name="Comma 4 2 2 6" xfId="694" xr:uid="{00000000-0005-0000-0000-000078050000}"/>
    <cellStyle name="Comma 4 2 2 6 2" xfId="2185" xr:uid="{00000000-0005-0000-0000-000079050000}"/>
    <cellStyle name="Comma 4 2 2 6 3" xfId="3642" xr:uid="{00000000-0005-0000-0000-00007A050000}"/>
    <cellStyle name="Comma 4 2 2 6 4" xfId="5079" xr:uid="{00000000-0005-0000-0000-00007B050000}"/>
    <cellStyle name="Comma 4 2 2 6 5" xfId="6525" xr:uid="{00000000-0005-0000-0000-00007C050000}"/>
    <cellStyle name="Comma 4 2 2 6 6" xfId="7964" xr:uid="{00000000-0005-0000-0000-00007D050000}"/>
    <cellStyle name="Comma 4 2 2 6 7" xfId="9399" xr:uid="{00000000-0005-0000-0000-00007E050000}"/>
    <cellStyle name="Comma 4 2 2 7" xfId="1185" xr:uid="{00000000-0005-0000-0000-00007F050000}"/>
    <cellStyle name="Comma 4 2 2 7 2" xfId="2664" xr:uid="{00000000-0005-0000-0000-000080050000}"/>
    <cellStyle name="Comma 4 2 2 7 3" xfId="4101" xr:uid="{00000000-0005-0000-0000-000081050000}"/>
    <cellStyle name="Comma 4 2 2 7 4" xfId="5538" xr:uid="{00000000-0005-0000-0000-000082050000}"/>
    <cellStyle name="Comma 4 2 2 7 5" xfId="6984" xr:uid="{00000000-0005-0000-0000-000083050000}"/>
    <cellStyle name="Comma 4 2 2 7 6" xfId="8425" xr:uid="{00000000-0005-0000-0000-000084050000}"/>
    <cellStyle name="Comma 4 2 2 7 7" xfId="9858" xr:uid="{00000000-0005-0000-0000-000085050000}"/>
    <cellStyle name="Comma 4 2 2 8" xfId="1250" xr:uid="{00000000-0005-0000-0000-000086050000}"/>
    <cellStyle name="Comma 4 2 2 8 2" xfId="2729" xr:uid="{00000000-0005-0000-0000-000087050000}"/>
    <cellStyle name="Comma 4 2 2 8 3" xfId="4166" xr:uid="{00000000-0005-0000-0000-000088050000}"/>
    <cellStyle name="Comma 4 2 2 8 4" xfId="5603" xr:uid="{00000000-0005-0000-0000-000089050000}"/>
    <cellStyle name="Comma 4 2 2 8 5" xfId="7049" xr:uid="{00000000-0005-0000-0000-00008A050000}"/>
    <cellStyle name="Comma 4 2 2 8 6" xfId="8490" xr:uid="{00000000-0005-0000-0000-00008B050000}"/>
    <cellStyle name="Comma 4 2 2 8 7" xfId="9923" xr:uid="{00000000-0005-0000-0000-00008C050000}"/>
    <cellStyle name="Comma 4 2 2 9" xfId="1728" xr:uid="{00000000-0005-0000-0000-00008D050000}"/>
    <cellStyle name="Comma 4 2 3" xfId="235" xr:uid="{00000000-0005-0000-0000-00008E050000}"/>
    <cellStyle name="Comma 4 3" xfId="226" xr:uid="{00000000-0005-0000-0000-00008F050000}"/>
    <cellStyle name="Comma 4 3 10" xfId="3201" xr:uid="{00000000-0005-0000-0000-000090050000}"/>
    <cellStyle name="Comma 4 3 11" xfId="4638" xr:uid="{00000000-0005-0000-0000-000091050000}"/>
    <cellStyle name="Comma 4 3 12" xfId="6084" xr:uid="{00000000-0005-0000-0000-000092050000}"/>
    <cellStyle name="Comma 4 3 13" xfId="7522" xr:uid="{00000000-0005-0000-0000-000093050000}"/>
    <cellStyle name="Comma 4 3 14" xfId="8962" xr:uid="{00000000-0005-0000-0000-000094050000}"/>
    <cellStyle name="Comma 4 3 2" xfId="295" xr:uid="{00000000-0005-0000-0000-000095050000}"/>
    <cellStyle name="Comma 4 3 2 10" xfId="7587" xr:uid="{00000000-0005-0000-0000-000096050000}"/>
    <cellStyle name="Comma 4 3 2 11" xfId="9026" xr:uid="{00000000-0005-0000-0000-000097050000}"/>
    <cellStyle name="Comma 4 3 2 2" xfId="433" xr:uid="{00000000-0005-0000-0000-000098050000}"/>
    <cellStyle name="Comma 4 3 2 2 2" xfId="915" xr:uid="{00000000-0005-0000-0000-000099050000}"/>
    <cellStyle name="Comma 4 3 2 2 2 2" xfId="2406" xr:uid="{00000000-0005-0000-0000-00009A050000}"/>
    <cellStyle name="Comma 4 3 2 2 2 3" xfId="3853" xr:uid="{00000000-0005-0000-0000-00009B050000}"/>
    <cellStyle name="Comma 4 3 2 2 2 4" xfId="5290" xr:uid="{00000000-0005-0000-0000-00009C050000}"/>
    <cellStyle name="Comma 4 3 2 2 2 5" xfId="6736" xr:uid="{00000000-0005-0000-0000-00009D050000}"/>
    <cellStyle name="Comma 4 3 2 2 2 6" xfId="8176" xr:uid="{00000000-0005-0000-0000-00009E050000}"/>
    <cellStyle name="Comma 4 3 2 2 2 7" xfId="9610" xr:uid="{00000000-0005-0000-0000-00009F050000}"/>
    <cellStyle name="Comma 4 3 2 2 3" xfId="1467" xr:uid="{00000000-0005-0000-0000-0000A0050000}"/>
    <cellStyle name="Comma 4 3 2 2 3 2" xfId="2940" xr:uid="{00000000-0005-0000-0000-0000A1050000}"/>
    <cellStyle name="Comma 4 3 2 2 3 3" xfId="4377" xr:uid="{00000000-0005-0000-0000-0000A2050000}"/>
    <cellStyle name="Comma 4 3 2 2 3 4" xfId="5814" xr:uid="{00000000-0005-0000-0000-0000A3050000}"/>
    <cellStyle name="Comma 4 3 2 2 3 5" xfId="7260" xr:uid="{00000000-0005-0000-0000-0000A4050000}"/>
    <cellStyle name="Comma 4 3 2 2 3 6" xfId="8701" xr:uid="{00000000-0005-0000-0000-0000A5050000}"/>
    <cellStyle name="Comma 4 3 2 2 3 7" xfId="10134" xr:uid="{00000000-0005-0000-0000-0000A6050000}"/>
    <cellStyle name="Comma 4 3 2 2 4" xfId="1939" xr:uid="{00000000-0005-0000-0000-0000A7050000}"/>
    <cellStyle name="Comma 4 3 2 2 5" xfId="3396" xr:uid="{00000000-0005-0000-0000-0000A8050000}"/>
    <cellStyle name="Comma 4 3 2 2 6" xfId="4833" xr:uid="{00000000-0005-0000-0000-0000A9050000}"/>
    <cellStyle name="Comma 4 3 2 2 7" xfId="6279" xr:uid="{00000000-0005-0000-0000-0000AA050000}"/>
    <cellStyle name="Comma 4 3 2 2 8" xfId="7717" xr:uid="{00000000-0005-0000-0000-0000AB050000}"/>
    <cellStyle name="Comma 4 3 2 2 9" xfId="9154" xr:uid="{00000000-0005-0000-0000-0000AC050000}"/>
    <cellStyle name="Comma 4 3 2 3" xfId="637" xr:uid="{00000000-0005-0000-0000-0000AD050000}"/>
    <cellStyle name="Comma 4 3 2 3 2" xfId="1116" xr:uid="{00000000-0005-0000-0000-0000AE050000}"/>
    <cellStyle name="Comma 4 3 2 3 2 2" xfId="2607" xr:uid="{00000000-0005-0000-0000-0000AF050000}"/>
    <cellStyle name="Comma 4 3 2 3 2 3" xfId="4050" xr:uid="{00000000-0005-0000-0000-0000B0050000}"/>
    <cellStyle name="Comma 4 3 2 3 2 4" xfId="5487" xr:uid="{00000000-0005-0000-0000-0000B1050000}"/>
    <cellStyle name="Comma 4 3 2 3 2 5" xfId="6933" xr:uid="{00000000-0005-0000-0000-0000B2050000}"/>
    <cellStyle name="Comma 4 3 2 3 2 6" xfId="8373" xr:uid="{00000000-0005-0000-0000-0000B3050000}"/>
    <cellStyle name="Comma 4 3 2 3 2 7" xfId="9807" xr:uid="{00000000-0005-0000-0000-0000B4050000}"/>
    <cellStyle name="Comma 4 3 2 3 3" xfId="1666" xr:uid="{00000000-0005-0000-0000-0000B5050000}"/>
    <cellStyle name="Comma 4 3 2 3 3 2" xfId="3137" xr:uid="{00000000-0005-0000-0000-0000B6050000}"/>
    <cellStyle name="Comma 4 3 2 3 3 3" xfId="4574" xr:uid="{00000000-0005-0000-0000-0000B7050000}"/>
    <cellStyle name="Comma 4 3 2 3 3 4" xfId="6011" xr:uid="{00000000-0005-0000-0000-0000B8050000}"/>
    <cellStyle name="Comma 4 3 2 3 3 5" xfId="7457" xr:uid="{00000000-0005-0000-0000-0000B9050000}"/>
    <cellStyle name="Comma 4 3 2 3 3 6" xfId="8898" xr:uid="{00000000-0005-0000-0000-0000BA050000}"/>
    <cellStyle name="Comma 4 3 2 3 3 7" xfId="10331" xr:uid="{00000000-0005-0000-0000-0000BB050000}"/>
    <cellStyle name="Comma 4 3 2 3 4" xfId="2136" xr:uid="{00000000-0005-0000-0000-0000BC050000}"/>
    <cellStyle name="Comma 4 3 2 3 5" xfId="3593" xr:uid="{00000000-0005-0000-0000-0000BD050000}"/>
    <cellStyle name="Comma 4 3 2 3 6" xfId="5030" xr:uid="{00000000-0005-0000-0000-0000BE050000}"/>
    <cellStyle name="Comma 4 3 2 3 7" xfId="6476" xr:uid="{00000000-0005-0000-0000-0000BF050000}"/>
    <cellStyle name="Comma 4 3 2 3 8" xfId="7915" xr:uid="{00000000-0005-0000-0000-0000C0050000}"/>
    <cellStyle name="Comma 4 3 2 3 9" xfId="9350" xr:uid="{00000000-0005-0000-0000-0000C1050000}"/>
    <cellStyle name="Comma 4 3 2 4" xfId="779" xr:uid="{00000000-0005-0000-0000-0000C2050000}"/>
    <cellStyle name="Comma 4 3 2 4 2" xfId="2270" xr:uid="{00000000-0005-0000-0000-0000C3050000}"/>
    <cellStyle name="Comma 4 3 2 4 3" xfId="3723" xr:uid="{00000000-0005-0000-0000-0000C4050000}"/>
    <cellStyle name="Comma 4 3 2 4 4" xfId="5160" xr:uid="{00000000-0005-0000-0000-0000C5050000}"/>
    <cellStyle name="Comma 4 3 2 4 5" xfId="6606" xr:uid="{00000000-0005-0000-0000-0000C6050000}"/>
    <cellStyle name="Comma 4 3 2 4 6" xfId="8046" xr:uid="{00000000-0005-0000-0000-0000C7050000}"/>
    <cellStyle name="Comma 4 3 2 4 7" xfId="9480" xr:uid="{00000000-0005-0000-0000-0000C8050000}"/>
    <cellStyle name="Comma 4 3 2 5" xfId="1335" xr:uid="{00000000-0005-0000-0000-0000C9050000}"/>
    <cellStyle name="Comma 4 3 2 5 2" xfId="2810" xr:uid="{00000000-0005-0000-0000-0000CA050000}"/>
    <cellStyle name="Comma 4 3 2 5 3" xfId="4247" xr:uid="{00000000-0005-0000-0000-0000CB050000}"/>
    <cellStyle name="Comma 4 3 2 5 4" xfId="5684" xr:uid="{00000000-0005-0000-0000-0000CC050000}"/>
    <cellStyle name="Comma 4 3 2 5 5" xfId="7130" xr:uid="{00000000-0005-0000-0000-0000CD050000}"/>
    <cellStyle name="Comma 4 3 2 5 6" xfId="8571" xr:uid="{00000000-0005-0000-0000-0000CE050000}"/>
    <cellStyle name="Comma 4 3 2 5 7" xfId="10004" xr:uid="{00000000-0005-0000-0000-0000CF050000}"/>
    <cellStyle name="Comma 4 3 2 6" xfId="1809" xr:uid="{00000000-0005-0000-0000-0000D0050000}"/>
    <cellStyle name="Comma 4 3 2 7" xfId="3266" xr:uid="{00000000-0005-0000-0000-0000D1050000}"/>
    <cellStyle name="Comma 4 3 2 8" xfId="4703" xr:uid="{00000000-0005-0000-0000-0000D2050000}"/>
    <cellStyle name="Comma 4 3 2 9" xfId="6149" xr:uid="{00000000-0005-0000-0000-0000D3050000}"/>
    <cellStyle name="Comma 4 3 3" xfId="364" xr:uid="{00000000-0005-0000-0000-0000D4050000}"/>
    <cellStyle name="Comma 4 3 3 2" xfId="846" xr:uid="{00000000-0005-0000-0000-0000D5050000}"/>
    <cellStyle name="Comma 4 3 3 2 2" xfId="2337" xr:uid="{00000000-0005-0000-0000-0000D6050000}"/>
    <cellStyle name="Comma 4 3 3 2 3" xfId="3788" xr:uid="{00000000-0005-0000-0000-0000D7050000}"/>
    <cellStyle name="Comma 4 3 3 2 4" xfId="5225" xr:uid="{00000000-0005-0000-0000-0000D8050000}"/>
    <cellStyle name="Comma 4 3 3 2 5" xfId="6671" xr:uid="{00000000-0005-0000-0000-0000D9050000}"/>
    <cellStyle name="Comma 4 3 3 2 6" xfId="8111" xr:uid="{00000000-0005-0000-0000-0000DA050000}"/>
    <cellStyle name="Comma 4 3 3 2 7" xfId="9545" xr:uid="{00000000-0005-0000-0000-0000DB050000}"/>
    <cellStyle name="Comma 4 3 3 3" xfId="1400" xr:uid="{00000000-0005-0000-0000-0000DC050000}"/>
    <cellStyle name="Comma 4 3 3 3 2" xfId="2875" xr:uid="{00000000-0005-0000-0000-0000DD050000}"/>
    <cellStyle name="Comma 4 3 3 3 3" xfId="4312" xr:uid="{00000000-0005-0000-0000-0000DE050000}"/>
    <cellStyle name="Comma 4 3 3 3 4" xfId="5749" xr:uid="{00000000-0005-0000-0000-0000DF050000}"/>
    <cellStyle name="Comma 4 3 3 3 5" xfId="7195" xr:uid="{00000000-0005-0000-0000-0000E0050000}"/>
    <cellStyle name="Comma 4 3 3 3 6" xfId="8636" xr:uid="{00000000-0005-0000-0000-0000E1050000}"/>
    <cellStyle name="Comma 4 3 3 3 7" xfId="10069" xr:uid="{00000000-0005-0000-0000-0000E2050000}"/>
    <cellStyle name="Comma 4 3 3 4" xfId="1874" xr:uid="{00000000-0005-0000-0000-0000E3050000}"/>
    <cellStyle name="Comma 4 3 3 5" xfId="3331" xr:uid="{00000000-0005-0000-0000-0000E4050000}"/>
    <cellStyle name="Comma 4 3 3 6" xfId="4768" xr:uid="{00000000-0005-0000-0000-0000E5050000}"/>
    <cellStyle name="Comma 4 3 3 7" xfId="6214" xr:uid="{00000000-0005-0000-0000-0000E6050000}"/>
    <cellStyle name="Comma 4 3 3 8" xfId="7652" xr:uid="{00000000-0005-0000-0000-0000E7050000}"/>
    <cellStyle name="Comma 4 3 3 9" xfId="9089" xr:uid="{00000000-0005-0000-0000-0000E8050000}"/>
    <cellStyle name="Comma 4 3 4" xfId="503" xr:uid="{00000000-0005-0000-0000-0000E9050000}"/>
    <cellStyle name="Comma 4 3 4 2" xfId="982" xr:uid="{00000000-0005-0000-0000-0000EA050000}"/>
    <cellStyle name="Comma 4 3 4 2 2" xfId="2473" xr:uid="{00000000-0005-0000-0000-0000EB050000}"/>
    <cellStyle name="Comma 4 3 4 2 3" xfId="3920" xr:uid="{00000000-0005-0000-0000-0000EC050000}"/>
    <cellStyle name="Comma 4 3 4 2 4" xfId="5357" xr:uid="{00000000-0005-0000-0000-0000ED050000}"/>
    <cellStyle name="Comma 4 3 4 2 5" xfId="6803" xr:uid="{00000000-0005-0000-0000-0000EE050000}"/>
    <cellStyle name="Comma 4 3 4 2 6" xfId="8243" xr:uid="{00000000-0005-0000-0000-0000EF050000}"/>
    <cellStyle name="Comma 4 3 4 2 7" xfId="9677" xr:uid="{00000000-0005-0000-0000-0000F0050000}"/>
    <cellStyle name="Comma 4 3 4 3" xfId="1534" xr:uid="{00000000-0005-0000-0000-0000F1050000}"/>
    <cellStyle name="Comma 4 3 4 3 2" xfId="3007" xr:uid="{00000000-0005-0000-0000-0000F2050000}"/>
    <cellStyle name="Comma 4 3 4 3 3" xfId="4444" xr:uid="{00000000-0005-0000-0000-0000F3050000}"/>
    <cellStyle name="Comma 4 3 4 3 4" xfId="5881" xr:uid="{00000000-0005-0000-0000-0000F4050000}"/>
    <cellStyle name="Comma 4 3 4 3 5" xfId="7327" xr:uid="{00000000-0005-0000-0000-0000F5050000}"/>
    <cellStyle name="Comma 4 3 4 3 6" xfId="8768" xr:uid="{00000000-0005-0000-0000-0000F6050000}"/>
    <cellStyle name="Comma 4 3 4 3 7" xfId="10201" xr:uid="{00000000-0005-0000-0000-0000F7050000}"/>
    <cellStyle name="Comma 4 3 4 4" xfId="2006" xr:uid="{00000000-0005-0000-0000-0000F8050000}"/>
    <cellStyle name="Comma 4 3 4 5" xfId="3463" xr:uid="{00000000-0005-0000-0000-0000F9050000}"/>
    <cellStyle name="Comma 4 3 4 6" xfId="4900" xr:uid="{00000000-0005-0000-0000-0000FA050000}"/>
    <cellStyle name="Comma 4 3 4 7" xfId="6346" xr:uid="{00000000-0005-0000-0000-0000FB050000}"/>
    <cellStyle name="Comma 4 3 4 8" xfId="7784" xr:uid="{00000000-0005-0000-0000-0000FC050000}"/>
    <cellStyle name="Comma 4 3 4 9" xfId="9221" xr:uid="{00000000-0005-0000-0000-0000FD050000}"/>
    <cellStyle name="Comma 4 3 5" xfId="568" xr:uid="{00000000-0005-0000-0000-0000FE050000}"/>
    <cellStyle name="Comma 4 3 5 2" xfId="1047" xr:uid="{00000000-0005-0000-0000-0000FF050000}"/>
    <cellStyle name="Comma 4 3 5 2 2" xfId="2538" xr:uid="{00000000-0005-0000-0000-000000060000}"/>
    <cellStyle name="Comma 4 3 5 2 3" xfId="3985" xr:uid="{00000000-0005-0000-0000-000001060000}"/>
    <cellStyle name="Comma 4 3 5 2 4" xfId="5422" xr:uid="{00000000-0005-0000-0000-000002060000}"/>
    <cellStyle name="Comma 4 3 5 2 5" xfId="6868" xr:uid="{00000000-0005-0000-0000-000003060000}"/>
    <cellStyle name="Comma 4 3 5 2 6" xfId="8308" xr:uid="{00000000-0005-0000-0000-000004060000}"/>
    <cellStyle name="Comma 4 3 5 2 7" xfId="9742" xr:uid="{00000000-0005-0000-0000-000005060000}"/>
    <cellStyle name="Comma 4 3 5 3" xfId="1599" xr:uid="{00000000-0005-0000-0000-000006060000}"/>
    <cellStyle name="Comma 4 3 5 3 2" xfId="3072" xr:uid="{00000000-0005-0000-0000-000007060000}"/>
    <cellStyle name="Comma 4 3 5 3 3" xfId="4509" xr:uid="{00000000-0005-0000-0000-000008060000}"/>
    <cellStyle name="Comma 4 3 5 3 4" xfId="5946" xr:uid="{00000000-0005-0000-0000-000009060000}"/>
    <cellStyle name="Comma 4 3 5 3 5" xfId="7392" xr:uid="{00000000-0005-0000-0000-00000A060000}"/>
    <cellStyle name="Comma 4 3 5 3 6" xfId="8833" xr:uid="{00000000-0005-0000-0000-00000B060000}"/>
    <cellStyle name="Comma 4 3 5 3 7" xfId="10266" xr:uid="{00000000-0005-0000-0000-00000C060000}"/>
    <cellStyle name="Comma 4 3 5 4" xfId="2071" xr:uid="{00000000-0005-0000-0000-00000D060000}"/>
    <cellStyle name="Comma 4 3 5 5" xfId="3528" xr:uid="{00000000-0005-0000-0000-00000E060000}"/>
    <cellStyle name="Comma 4 3 5 6" xfId="4965" xr:uid="{00000000-0005-0000-0000-00000F060000}"/>
    <cellStyle name="Comma 4 3 5 7" xfId="6411" xr:uid="{00000000-0005-0000-0000-000010060000}"/>
    <cellStyle name="Comma 4 3 5 8" xfId="7849" xr:uid="{00000000-0005-0000-0000-000011060000}"/>
    <cellStyle name="Comma 4 3 5 9" xfId="9285" xr:uid="{00000000-0005-0000-0000-000012060000}"/>
    <cellStyle name="Comma 4 3 6" xfId="710" xr:uid="{00000000-0005-0000-0000-000013060000}"/>
    <cellStyle name="Comma 4 3 6 2" xfId="2201" xr:uid="{00000000-0005-0000-0000-000014060000}"/>
    <cellStyle name="Comma 4 3 6 3" xfId="3658" xr:uid="{00000000-0005-0000-0000-000015060000}"/>
    <cellStyle name="Comma 4 3 6 4" xfId="5095" xr:uid="{00000000-0005-0000-0000-000016060000}"/>
    <cellStyle name="Comma 4 3 6 5" xfId="6541" xr:uid="{00000000-0005-0000-0000-000017060000}"/>
    <cellStyle name="Comma 4 3 6 6" xfId="7980" xr:uid="{00000000-0005-0000-0000-000018060000}"/>
    <cellStyle name="Comma 4 3 6 7" xfId="9415" xr:uid="{00000000-0005-0000-0000-000019060000}"/>
    <cellStyle name="Comma 4 3 7" xfId="1201" xr:uid="{00000000-0005-0000-0000-00001A060000}"/>
    <cellStyle name="Comma 4 3 7 2" xfId="2680" xr:uid="{00000000-0005-0000-0000-00001B060000}"/>
    <cellStyle name="Comma 4 3 7 3" xfId="4117" xr:uid="{00000000-0005-0000-0000-00001C060000}"/>
    <cellStyle name="Comma 4 3 7 4" xfId="5554" xr:uid="{00000000-0005-0000-0000-00001D060000}"/>
    <cellStyle name="Comma 4 3 7 5" xfId="7000" xr:uid="{00000000-0005-0000-0000-00001E060000}"/>
    <cellStyle name="Comma 4 3 7 6" xfId="8441" xr:uid="{00000000-0005-0000-0000-00001F060000}"/>
    <cellStyle name="Comma 4 3 7 7" xfId="9874" xr:uid="{00000000-0005-0000-0000-000020060000}"/>
    <cellStyle name="Comma 4 3 8" xfId="1266" xr:uid="{00000000-0005-0000-0000-000021060000}"/>
    <cellStyle name="Comma 4 3 8 2" xfId="2745" xr:uid="{00000000-0005-0000-0000-000022060000}"/>
    <cellStyle name="Comma 4 3 8 3" xfId="4182" xr:uid="{00000000-0005-0000-0000-000023060000}"/>
    <cellStyle name="Comma 4 3 8 4" xfId="5619" xr:uid="{00000000-0005-0000-0000-000024060000}"/>
    <cellStyle name="Comma 4 3 8 5" xfId="7065" xr:uid="{00000000-0005-0000-0000-000025060000}"/>
    <cellStyle name="Comma 4 3 8 6" xfId="8506" xr:uid="{00000000-0005-0000-0000-000026060000}"/>
    <cellStyle name="Comma 4 3 8 7" xfId="9939" xr:uid="{00000000-0005-0000-0000-000027060000}"/>
    <cellStyle name="Comma 4 3 9" xfId="1744" xr:uid="{00000000-0005-0000-0000-000028060000}"/>
    <cellStyle name="Comma 4 4" xfId="118" xr:uid="{00000000-0005-0000-0000-000029060000}"/>
    <cellStyle name="Comma 4 4 10" xfId="4669" xr:uid="{00000000-0005-0000-0000-00002A060000}"/>
    <cellStyle name="Comma 4 4 11" xfId="6115" xr:uid="{00000000-0005-0000-0000-00002B060000}"/>
    <cellStyle name="Comma 4 4 12" xfId="7553" xr:uid="{00000000-0005-0000-0000-00002C060000}"/>
    <cellStyle name="Comma 4 4 13" xfId="8992" xr:uid="{00000000-0005-0000-0000-00002D060000}"/>
    <cellStyle name="Comma 4 4 2" xfId="399" xr:uid="{00000000-0005-0000-0000-00002E060000}"/>
    <cellStyle name="Comma 4 4 2 2" xfId="881" xr:uid="{00000000-0005-0000-0000-00002F060000}"/>
    <cellStyle name="Comma 4 4 2 2 2" xfId="2372" xr:uid="{00000000-0005-0000-0000-000030060000}"/>
    <cellStyle name="Comma 4 4 2 2 3" xfId="3819" xr:uid="{00000000-0005-0000-0000-000031060000}"/>
    <cellStyle name="Comma 4 4 2 2 4" xfId="5256" xr:uid="{00000000-0005-0000-0000-000032060000}"/>
    <cellStyle name="Comma 4 4 2 2 5" xfId="6702" xr:uid="{00000000-0005-0000-0000-000033060000}"/>
    <cellStyle name="Comma 4 4 2 2 6" xfId="8142" xr:uid="{00000000-0005-0000-0000-000034060000}"/>
    <cellStyle name="Comma 4 4 2 2 7" xfId="9576" xr:uid="{00000000-0005-0000-0000-000035060000}"/>
    <cellStyle name="Comma 4 4 2 3" xfId="1433" xr:uid="{00000000-0005-0000-0000-000036060000}"/>
    <cellStyle name="Comma 4 4 2 3 2" xfId="2906" xr:uid="{00000000-0005-0000-0000-000037060000}"/>
    <cellStyle name="Comma 4 4 2 3 3" xfId="4343" xr:uid="{00000000-0005-0000-0000-000038060000}"/>
    <cellStyle name="Comma 4 4 2 3 4" xfId="5780" xr:uid="{00000000-0005-0000-0000-000039060000}"/>
    <cellStyle name="Comma 4 4 2 3 5" xfId="7226" xr:uid="{00000000-0005-0000-0000-00003A060000}"/>
    <cellStyle name="Comma 4 4 2 3 6" xfId="8667" xr:uid="{00000000-0005-0000-0000-00003B060000}"/>
    <cellStyle name="Comma 4 4 2 3 7" xfId="10100" xr:uid="{00000000-0005-0000-0000-00003C060000}"/>
    <cellStyle name="Comma 4 4 2 4" xfId="1905" xr:uid="{00000000-0005-0000-0000-00003D060000}"/>
    <cellStyle name="Comma 4 4 2 5" xfId="3362" xr:uid="{00000000-0005-0000-0000-00003E060000}"/>
    <cellStyle name="Comma 4 4 2 6" xfId="4799" xr:uid="{00000000-0005-0000-0000-00003F060000}"/>
    <cellStyle name="Comma 4 4 2 7" xfId="6245" xr:uid="{00000000-0005-0000-0000-000040060000}"/>
    <cellStyle name="Comma 4 4 2 8" xfId="7683" xr:uid="{00000000-0005-0000-0000-000041060000}"/>
    <cellStyle name="Comma 4 4 2 9" xfId="9120" xr:uid="{00000000-0005-0000-0000-000042060000}"/>
    <cellStyle name="Comma 4 4 3" xfId="469" xr:uid="{00000000-0005-0000-0000-000043060000}"/>
    <cellStyle name="Comma 4 4 3 2" xfId="948" xr:uid="{00000000-0005-0000-0000-000044060000}"/>
    <cellStyle name="Comma 4 4 3 2 2" xfId="2439" xr:uid="{00000000-0005-0000-0000-000045060000}"/>
    <cellStyle name="Comma 4 4 3 2 3" xfId="3886" xr:uid="{00000000-0005-0000-0000-000046060000}"/>
    <cellStyle name="Comma 4 4 3 2 4" xfId="5323" xr:uid="{00000000-0005-0000-0000-000047060000}"/>
    <cellStyle name="Comma 4 4 3 2 5" xfId="6769" xr:uid="{00000000-0005-0000-0000-000048060000}"/>
    <cellStyle name="Comma 4 4 3 2 6" xfId="8209" xr:uid="{00000000-0005-0000-0000-000049060000}"/>
    <cellStyle name="Comma 4 4 3 2 7" xfId="9643" xr:uid="{00000000-0005-0000-0000-00004A060000}"/>
    <cellStyle name="Comma 4 4 3 3" xfId="1500" xr:uid="{00000000-0005-0000-0000-00004B060000}"/>
    <cellStyle name="Comma 4 4 3 3 2" xfId="2973" xr:uid="{00000000-0005-0000-0000-00004C060000}"/>
    <cellStyle name="Comma 4 4 3 3 3" xfId="4410" xr:uid="{00000000-0005-0000-0000-00004D060000}"/>
    <cellStyle name="Comma 4 4 3 3 4" xfId="5847" xr:uid="{00000000-0005-0000-0000-00004E060000}"/>
    <cellStyle name="Comma 4 4 3 3 5" xfId="7293" xr:uid="{00000000-0005-0000-0000-00004F060000}"/>
    <cellStyle name="Comma 4 4 3 3 6" xfId="8734" xr:uid="{00000000-0005-0000-0000-000050060000}"/>
    <cellStyle name="Comma 4 4 3 3 7" xfId="10167" xr:uid="{00000000-0005-0000-0000-000051060000}"/>
    <cellStyle name="Comma 4 4 3 4" xfId="1972" xr:uid="{00000000-0005-0000-0000-000052060000}"/>
    <cellStyle name="Comma 4 4 3 5" xfId="3429" xr:uid="{00000000-0005-0000-0000-000053060000}"/>
    <cellStyle name="Comma 4 4 3 6" xfId="4866" xr:uid="{00000000-0005-0000-0000-000054060000}"/>
    <cellStyle name="Comma 4 4 3 7" xfId="6312" xr:uid="{00000000-0005-0000-0000-000055060000}"/>
    <cellStyle name="Comma 4 4 3 8" xfId="7750" xr:uid="{00000000-0005-0000-0000-000056060000}"/>
    <cellStyle name="Comma 4 4 3 9" xfId="9187" xr:uid="{00000000-0005-0000-0000-000057060000}"/>
    <cellStyle name="Comma 4 4 4" xfId="603" xr:uid="{00000000-0005-0000-0000-000058060000}"/>
    <cellStyle name="Comma 4 4 4 2" xfId="1082" xr:uid="{00000000-0005-0000-0000-000059060000}"/>
    <cellStyle name="Comma 4 4 4 2 2" xfId="2573" xr:uid="{00000000-0005-0000-0000-00005A060000}"/>
    <cellStyle name="Comma 4 4 4 2 3" xfId="4016" xr:uid="{00000000-0005-0000-0000-00005B060000}"/>
    <cellStyle name="Comma 4 4 4 2 4" xfId="5453" xr:uid="{00000000-0005-0000-0000-00005C060000}"/>
    <cellStyle name="Comma 4 4 4 2 5" xfId="6899" xr:uid="{00000000-0005-0000-0000-00005D060000}"/>
    <cellStyle name="Comma 4 4 4 2 6" xfId="8339" xr:uid="{00000000-0005-0000-0000-00005E060000}"/>
    <cellStyle name="Comma 4 4 4 2 7" xfId="9773" xr:uid="{00000000-0005-0000-0000-00005F060000}"/>
    <cellStyle name="Comma 4 4 4 3" xfId="1632" xr:uid="{00000000-0005-0000-0000-000060060000}"/>
    <cellStyle name="Comma 4 4 4 3 2" xfId="3103" xr:uid="{00000000-0005-0000-0000-000061060000}"/>
    <cellStyle name="Comma 4 4 4 3 3" xfId="4540" xr:uid="{00000000-0005-0000-0000-000062060000}"/>
    <cellStyle name="Comma 4 4 4 3 4" xfId="5977" xr:uid="{00000000-0005-0000-0000-000063060000}"/>
    <cellStyle name="Comma 4 4 4 3 5" xfId="7423" xr:uid="{00000000-0005-0000-0000-000064060000}"/>
    <cellStyle name="Comma 4 4 4 3 6" xfId="8864" xr:uid="{00000000-0005-0000-0000-000065060000}"/>
    <cellStyle name="Comma 4 4 4 3 7" xfId="10297" xr:uid="{00000000-0005-0000-0000-000066060000}"/>
    <cellStyle name="Comma 4 4 4 4" xfId="2102" xr:uid="{00000000-0005-0000-0000-000067060000}"/>
    <cellStyle name="Comma 4 4 4 5" xfId="3559" xr:uid="{00000000-0005-0000-0000-000068060000}"/>
    <cellStyle name="Comma 4 4 4 6" xfId="4996" xr:uid="{00000000-0005-0000-0000-000069060000}"/>
    <cellStyle name="Comma 4 4 4 7" xfId="6442" xr:uid="{00000000-0005-0000-0000-00006A060000}"/>
    <cellStyle name="Comma 4 4 4 8" xfId="7881" xr:uid="{00000000-0005-0000-0000-00006B060000}"/>
    <cellStyle name="Comma 4 4 4 9" xfId="9316" xr:uid="{00000000-0005-0000-0000-00006C060000}"/>
    <cellStyle name="Comma 4 4 5" xfId="745" xr:uid="{00000000-0005-0000-0000-00006D060000}"/>
    <cellStyle name="Comma 4 4 5 2" xfId="2236" xr:uid="{00000000-0005-0000-0000-00006E060000}"/>
    <cellStyle name="Comma 4 4 5 3" xfId="3689" xr:uid="{00000000-0005-0000-0000-00006F060000}"/>
    <cellStyle name="Comma 4 4 5 4" xfId="5126" xr:uid="{00000000-0005-0000-0000-000070060000}"/>
    <cellStyle name="Comma 4 4 5 5" xfId="6572" xr:uid="{00000000-0005-0000-0000-000071060000}"/>
    <cellStyle name="Comma 4 4 5 6" xfId="8012" xr:uid="{00000000-0005-0000-0000-000072060000}"/>
    <cellStyle name="Comma 4 4 5 7" xfId="9446" xr:uid="{00000000-0005-0000-0000-000073060000}"/>
    <cellStyle name="Comma 4 4 6" xfId="1167" xr:uid="{00000000-0005-0000-0000-000074060000}"/>
    <cellStyle name="Comma 4 4 6 2" xfId="2646" xr:uid="{00000000-0005-0000-0000-000075060000}"/>
    <cellStyle name="Comma 4 4 6 3" xfId="4083" xr:uid="{00000000-0005-0000-0000-000076060000}"/>
    <cellStyle name="Comma 4 4 6 4" xfId="5520" xr:uid="{00000000-0005-0000-0000-000077060000}"/>
    <cellStyle name="Comma 4 4 6 5" xfId="6966" xr:uid="{00000000-0005-0000-0000-000078060000}"/>
    <cellStyle name="Comma 4 4 6 6" xfId="8407" xr:uid="{00000000-0005-0000-0000-000079060000}"/>
    <cellStyle name="Comma 4 4 6 7" xfId="9840" xr:uid="{00000000-0005-0000-0000-00007A060000}"/>
    <cellStyle name="Comma 4 4 7" xfId="1301" xr:uid="{00000000-0005-0000-0000-00007B060000}"/>
    <cellStyle name="Comma 4 4 7 2" xfId="2776" xr:uid="{00000000-0005-0000-0000-00007C060000}"/>
    <cellStyle name="Comma 4 4 7 3" xfId="4213" xr:uid="{00000000-0005-0000-0000-00007D060000}"/>
    <cellStyle name="Comma 4 4 7 4" xfId="5650" xr:uid="{00000000-0005-0000-0000-00007E060000}"/>
    <cellStyle name="Comma 4 4 7 5" xfId="7096" xr:uid="{00000000-0005-0000-0000-00007F060000}"/>
    <cellStyle name="Comma 4 4 7 6" xfId="8537" xr:uid="{00000000-0005-0000-0000-000080060000}"/>
    <cellStyle name="Comma 4 4 7 7" xfId="9970" xr:uid="{00000000-0005-0000-0000-000081060000}"/>
    <cellStyle name="Comma 4 4 8" xfId="1775" xr:uid="{00000000-0005-0000-0000-000082060000}"/>
    <cellStyle name="Comma 4 4 9" xfId="3232" xr:uid="{00000000-0005-0000-0000-000083060000}"/>
    <cellStyle name="Comma 4 5" xfId="330" xr:uid="{00000000-0005-0000-0000-000084060000}"/>
    <cellStyle name="Comma 4 5 2" xfId="812" xr:uid="{00000000-0005-0000-0000-000085060000}"/>
    <cellStyle name="Comma 4 5 2 2" xfId="2303" xr:uid="{00000000-0005-0000-0000-000086060000}"/>
    <cellStyle name="Comma 4 5 2 3" xfId="3754" xr:uid="{00000000-0005-0000-0000-000087060000}"/>
    <cellStyle name="Comma 4 5 2 4" xfId="5191" xr:uid="{00000000-0005-0000-0000-000088060000}"/>
    <cellStyle name="Comma 4 5 2 5" xfId="6637" xr:uid="{00000000-0005-0000-0000-000089060000}"/>
    <cellStyle name="Comma 4 5 2 6" xfId="8077" xr:uid="{00000000-0005-0000-0000-00008A060000}"/>
    <cellStyle name="Comma 4 5 2 7" xfId="9511" xr:uid="{00000000-0005-0000-0000-00008B060000}"/>
    <cellStyle name="Comma 4 5 3" xfId="1366" xr:uid="{00000000-0005-0000-0000-00008C060000}"/>
    <cellStyle name="Comma 4 5 3 2" xfId="2841" xr:uid="{00000000-0005-0000-0000-00008D060000}"/>
    <cellStyle name="Comma 4 5 3 3" xfId="4278" xr:uid="{00000000-0005-0000-0000-00008E060000}"/>
    <cellStyle name="Comma 4 5 3 4" xfId="5715" xr:uid="{00000000-0005-0000-0000-00008F060000}"/>
    <cellStyle name="Comma 4 5 3 5" xfId="7161" xr:uid="{00000000-0005-0000-0000-000090060000}"/>
    <cellStyle name="Comma 4 5 3 6" xfId="8602" xr:uid="{00000000-0005-0000-0000-000091060000}"/>
    <cellStyle name="Comma 4 5 3 7" xfId="10035" xr:uid="{00000000-0005-0000-0000-000092060000}"/>
    <cellStyle name="Comma 4 5 4" xfId="1840" xr:uid="{00000000-0005-0000-0000-000093060000}"/>
    <cellStyle name="Comma 4 5 5" xfId="3297" xr:uid="{00000000-0005-0000-0000-000094060000}"/>
    <cellStyle name="Comma 4 5 6" xfId="4734" xr:uid="{00000000-0005-0000-0000-000095060000}"/>
    <cellStyle name="Comma 4 5 7" xfId="6180" xr:uid="{00000000-0005-0000-0000-000096060000}"/>
    <cellStyle name="Comma 4 5 8" xfId="7618" xr:uid="{00000000-0005-0000-0000-000097060000}"/>
    <cellStyle name="Comma 4 5 9" xfId="9056" xr:uid="{00000000-0005-0000-0000-000098060000}"/>
    <cellStyle name="Comma 4 6" xfId="534" xr:uid="{00000000-0005-0000-0000-000099060000}"/>
    <cellStyle name="Comma 4 6 2" xfId="1013" xr:uid="{00000000-0005-0000-0000-00009A060000}"/>
    <cellStyle name="Comma 4 6 2 2" xfId="2504" xr:uid="{00000000-0005-0000-0000-00009B060000}"/>
    <cellStyle name="Comma 4 6 2 3" xfId="3951" xr:uid="{00000000-0005-0000-0000-00009C060000}"/>
    <cellStyle name="Comma 4 6 2 4" xfId="5388" xr:uid="{00000000-0005-0000-0000-00009D060000}"/>
    <cellStyle name="Comma 4 6 2 5" xfId="6834" xr:uid="{00000000-0005-0000-0000-00009E060000}"/>
    <cellStyle name="Comma 4 6 2 6" xfId="8274" xr:uid="{00000000-0005-0000-0000-00009F060000}"/>
    <cellStyle name="Comma 4 6 2 7" xfId="9708" xr:uid="{00000000-0005-0000-0000-0000A0060000}"/>
    <cellStyle name="Comma 4 6 3" xfId="1565" xr:uid="{00000000-0005-0000-0000-0000A1060000}"/>
    <cellStyle name="Comma 4 6 3 2" xfId="3038" xr:uid="{00000000-0005-0000-0000-0000A2060000}"/>
    <cellStyle name="Comma 4 6 3 3" xfId="4475" xr:uid="{00000000-0005-0000-0000-0000A3060000}"/>
    <cellStyle name="Comma 4 6 3 4" xfId="5912" xr:uid="{00000000-0005-0000-0000-0000A4060000}"/>
    <cellStyle name="Comma 4 6 3 5" xfId="7358" xr:uid="{00000000-0005-0000-0000-0000A5060000}"/>
    <cellStyle name="Comma 4 6 3 6" xfId="8799" xr:uid="{00000000-0005-0000-0000-0000A6060000}"/>
    <cellStyle name="Comma 4 6 3 7" xfId="10232" xr:uid="{00000000-0005-0000-0000-0000A7060000}"/>
    <cellStyle name="Comma 4 6 4" xfId="2037" xr:uid="{00000000-0005-0000-0000-0000A8060000}"/>
    <cellStyle name="Comma 4 6 5" xfId="3494" xr:uid="{00000000-0005-0000-0000-0000A9060000}"/>
    <cellStyle name="Comma 4 6 6" xfId="4931" xr:uid="{00000000-0005-0000-0000-0000AA060000}"/>
    <cellStyle name="Comma 4 6 7" xfId="6377" xr:uid="{00000000-0005-0000-0000-0000AB060000}"/>
    <cellStyle name="Comma 4 6 8" xfId="7815" xr:uid="{00000000-0005-0000-0000-0000AC060000}"/>
    <cellStyle name="Comma 4 6 9" xfId="9252" xr:uid="{00000000-0005-0000-0000-0000AD060000}"/>
    <cellStyle name="Comma 4 7" xfId="676" xr:uid="{00000000-0005-0000-0000-0000AE060000}"/>
    <cellStyle name="Comma 4 7 2" xfId="2167" xr:uid="{00000000-0005-0000-0000-0000AF060000}"/>
    <cellStyle name="Comma 4 7 3" xfId="3624" xr:uid="{00000000-0005-0000-0000-0000B0060000}"/>
    <cellStyle name="Comma 4 7 4" xfId="5061" xr:uid="{00000000-0005-0000-0000-0000B1060000}"/>
    <cellStyle name="Comma 4 7 5" xfId="6507" xr:uid="{00000000-0005-0000-0000-0000B2060000}"/>
    <cellStyle name="Comma 4 7 6" xfId="7946" xr:uid="{00000000-0005-0000-0000-0000B3060000}"/>
    <cellStyle name="Comma 4 7 7" xfId="9381" xr:uid="{00000000-0005-0000-0000-0000B4060000}"/>
    <cellStyle name="Comma 4 8" xfId="1232" xr:uid="{00000000-0005-0000-0000-0000B5060000}"/>
    <cellStyle name="Comma 4 8 2" xfId="2711" xr:uid="{00000000-0005-0000-0000-0000B6060000}"/>
    <cellStyle name="Comma 4 8 3" xfId="4148" xr:uid="{00000000-0005-0000-0000-0000B7060000}"/>
    <cellStyle name="Comma 4 8 4" xfId="5585" xr:uid="{00000000-0005-0000-0000-0000B8060000}"/>
    <cellStyle name="Comma 4 8 5" xfId="7031" xr:uid="{00000000-0005-0000-0000-0000B9060000}"/>
    <cellStyle name="Comma 4 8 6" xfId="8472" xr:uid="{00000000-0005-0000-0000-0000BA060000}"/>
    <cellStyle name="Comma 4 8 7" xfId="9905" xr:uid="{00000000-0005-0000-0000-0000BB060000}"/>
    <cellStyle name="Comma 4 9" xfId="1711" xr:uid="{00000000-0005-0000-0000-0000BC060000}"/>
    <cellStyle name="Comma 5" xfId="12" xr:uid="{00000000-0005-0000-0000-0000BD060000}"/>
    <cellStyle name="Comma 5 2" xfId="126" xr:uid="{00000000-0005-0000-0000-0000BE060000}"/>
    <cellStyle name="Comma 6" xfId="218" xr:uid="{00000000-0005-0000-0000-0000BF060000}"/>
    <cellStyle name="Comma 6 10" xfId="3193" xr:uid="{00000000-0005-0000-0000-0000C0060000}"/>
    <cellStyle name="Comma 6 11" xfId="4630" xr:uid="{00000000-0005-0000-0000-0000C1060000}"/>
    <cellStyle name="Comma 6 12" xfId="6076" xr:uid="{00000000-0005-0000-0000-0000C2060000}"/>
    <cellStyle name="Comma 6 13" xfId="7514" xr:uid="{00000000-0005-0000-0000-0000C3060000}"/>
    <cellStyle name="Comma 6 14" xfId="8954" xr:uid="{00000000-0005-0000-0000-0000C4060000}"/>
    <cellStyle name="Comma 6 2" xfId="287" xr:uid="{00000000-0005-0000-0000-0000C5060000}"/>
    <cellStyle name="Comma 6 2 10" xfId="7579" xr:uid="{00000000-0005-0000-0000-0000C6060000}"/>
    <cellStyle name="Comma 6 2 11" xfId="9018" xr:uid="{00000000-0005-0000-0000-0000C7060000}"/>
    <cellStyle name="Comma 6 2 2" xfId="425" xr:uid="{00000000-0005-0000-0000-0000C8060000}"/>
    <cellStyle name="Comma 6 2 2 2" xfId="907" xr:uid="{00000000-0005-0000-0000-0000C9060000}"/>
    <cellStyle name="Comma 6 2 2 2 2" xfId="2398" xr:uid="{00000000-0005-0000-0000-0000CA060000}"/>
    <cellStyle name="Comma 6 2 2 2 3" xfId="3845" xr:uid="{00000000-0005-0000-0000-0000CB060000}"/>
    <cellStyle name="Comma 6 2 2 2 4" xfId="5282" xr:uid="{00000000-0005-0000-0000-0000CC060000}"/>
    <cellStyle name="Comma 6 2 2 2 5" xfId="6728" xr:uid="{00000000-0005-0000-0000-0000CD060000}"/>
    <cellStyle name="Comma 6 2 2 2 6" xfId="8168" xr:uid="{00000000-0005-0000-0000-0000CE060000}"/>
    <cellStyle name="Comma 6 2 2 2 7" xfId="9602" xr:uid="{00000000-0005-0000-0000-0000CF060000}"/>
    <cellStyle name="Comma 6 2 2 3" xfId="1459" xr:uid="{00000000-0005-0000-0000-0000D0060000}"/>
    <cellStyle name="Comma 6 2 2 3 2" xfId="2932" xr:uid="{00000000-0005-0000-0000-0000D1060000}"/>
    <cellStyle name="Comma 6 2 2 3 3" xfId="4369" xr:uid="{00000000-0005-0000-0000-0000D2060000}"/>
    <cellStyle name="Comma 6 2 2 3 4" xfId="5806" xr:uid="{00000000-0005-0000-0000-0000D3060000}"/>
    <cellStyle name="Comma 6 2 2 3 5" xfId="7252" xr:uid="{00000000-0005-0000-0000-0000D4060000}"/>
    <cellStyle name="Comma 6 2 2 3 6" xfId="8693" xr:uid="{00000000-0005-0000-0000-0000D5060000}"/>
    <cellStyle name="Comma 6 2 2 3 7" xfId="10126" xr:uid="{00000000-0005-0000-0000-0000D6060000}"/>
    <cellStyle name="Comma 6 2 2 4" xfId="1931" xr:uid="{00000000-0005-0000-0000-0000D7060000}"/>
    <cellStyle name="Comma 6 2 2 5" xfId="3388" xr:uid="{00000000-0005-0000-0000-0000D8060000}"/>
    <cellStyle name="Comma 6 2 2 6" xfId="4825" xr:uid="{00000000-0005-0000-0000-0000D9060000}"/>
    <cellStyle name="Comma 6 2 2 7" xfId="6271" xr:uid="{00000000-0005-0000-0000-0000DA060000}"/>
    <cellStyle name="Comma 6 2 2 8" xfId="7709" xr:uid="{00000000-0005-0000-0000-0000DB060000}"/>
    <cellStyle name="Comma 6 2 2 9" xfId="9146" xr:uid="{00000000-0005-0000-0000-0000DC060000}"/>
    <cellStyle name="Comma 6 2 3" xfId="629" xr:uid="{00000000-0005-0000-0000-0000DD060000}"/>
    <cellStyle name="Comma 6 2 3 2" xfId="1108" xr:uid="{00000000-0005-0000-0000-0000DE060000}"/>
    <cellStyle name="Comma 6 2 3 2 2" xfId="2599" xr:uid="{00000000-0005-0000-0000-0000DF060000}"/>
    <cellStyle name="Comma 6 2 3 2 3" xfId="4042" xr:uid="{00000000-0005-0000-0000-0000E0060000}"/>
    <cellStyle name="Comma 6 2 3 2 4" xfId="5479" xr:uid="{00000000-0005-0000-0000-0000E1060000}"/>
    <cellStyle name="Comma 6 2 3 2 5" xfId="6925" xr:uid="{00000000-0005-0000-0000-0000E2060000}"/>
    <cellStyle name="Comma 6 2 3 2 6" xfId="8365" xr:uid="{00000000-0005-0000-0000-0000E3060000}"/>
    <cellStyle name="Comma 6 2 3 2 7" xfId="9799" xr:uid="{00000000-0005-0000-0000-0000E4060000}"/>
    <cellStyle name="Comma 6 2 3 3" xfId="1658" xr:uid="{00000000-0005-0000-0000-0000E5060000}"/>
    <cellStyle name="Comma 6 2 3 3 2" xfId="3129" xr:uid="{00000000-0005-0000-0000-0000E6060000}"/>
    <cellStyle name="Comma 6 2 3 3 3" xfId="4566" xr:uid="{00000000-0005-0000-0000-0000E7060000}"/>
    <cellStyle name="Comma 6 2 3 3 4" xfId="6003" xr:uid="{00000000-0005-0000-0000-0000E8060000}"/>
    <cellStyle name="Comma 6 2 3 3 5" xfId="7449" xr:uid="{00000000-0005-0000-0000-0000E9060000}"/>
    <cellStyle name="Comma 6 2 3 3 6" xfId="8890" xr:uid="{00000000-0005-0000-0000-0000EA060000}"/>
    <cellStyle name="Comma 6 2 3 3 7" xfId="10323" xr:uid="{00000000-0005-0000-0000-0000EB060000}"/>
    <cellStyle name="Comma 6 2 3 4" xfId="2128" xr:uid="{00000000-0005-0000-0000-0000EC060000}"/>
    <cellStyle name="Comma 6 2 3 5" xfId="3585" xr:uid="{00000000-0005-0000-0000-0000ED060000}"/>
    <cellStyle name="Comma 6 2 3 6" xfId="5022" xr:uid="{00000000-0005-0000-0000-0000EE060000}"/>
    <cellStyle name="Comma 6 2 3 7" xfId="6468" xr:uid="{00000000-0005-0000-0000-0000EF060000}"/>
    <cellStyle name="Comma 6 2 3 8" xfId="7907" xr:uid="{00000000-0005-0000-0000-0000F0060000}"/>
    <cellStyle name="Comma 6 2 3 9" xfId="9342" xr:uid="{00000000-0005-0000-0000-0000F1060000}"/>
    <cellStyle name="Comma 6 2 4" xfId="771" xr:uid="{00000000-0005-0000-0000-0000F2060000}"/>
    <cellStyle name="Comma 6 2 4 2" xfId="2262" xr:uid="{00000000-0005-0000-0000-0000F3060000}"/>
    <cellStyle name="Comma 6 2 4 3" xfId="3715" xr:uid="{00000000-0005-0000-0000-0000F4060000}"/>
    <cellStyle name="Comma 6 2 4 4" xfId="5152" xr:uid="{00000000-0005-0000-0000-0000F5060000}"/>
    <cellStyle name="Comma 6 2 4 5" xfId="6598" xr:uid="{00000000-0005-0000-0000-0000F6060000}"/>
    <cellStyle name="Comma 6 2 4 6" xfId="8038" xr:uid="{00000000-0005-0000-0000-0000F7060000}"/>
    <cellStyle name="Comma 6 2 4 7" xfId="9472" xr:uid="{00000000-0005-0000-0000-0000F8060000}"/>
    <cellStyle name="Comma 6 2 5" xfId="1327" xr:uid="{00000000-0005-0000-0000-0000F9060000}"/>
    <cellStyle name="Comma 6 2 5 2" xfId="2802" xr:uid="{00000000-0005-0000-0000-0000FA060000}"/>
    <cellStyle name="Comma 6 2 5 3" xfId="4239" xr:uid="{00000000-0005-0000-0000-0000FB060000}"/>
    <cellStyle name="Comma 6 2 5 4" xfId="5676" xr:uid="{00000000-0005-0000-0000-0000FC060000}"/>
    <cellStyle name="Comma 6 2 5 5" xfId="7122" xr:uid="{00000000-0005-0000-0000-0000FD060000}"/>
    <cellStyle name="Comma 6 2 5 6" xfId="8563" xr:uid="{00000000-0005-0000-0000-0000FE060000}"/>
    <cellStyle name="Comma 6 2 5 7" xfId="9996" xr:uid="{00000000-0005-0000-0000-0000FF060000}"/>
    <cellStyle name="Comma 6 2 6" xfId="1801" xr:uid="{00000000-0005-0000-0000-000000070000}"/>
    <cellStyle name="Comma 6 2 7" xfId="3258" xr:uid="{00000000-0005-0000-0000-000001070000}"/>
    <cellStyle name="Comma 6 2 8" xfId="4695" xr:uid="{00000000-0005-0000-0000-000002070000}"/>
    <cellStyle name="Comma 6 2 9" xfId="6141" xr:uid="{00000000-0005-0000-0000-000003070000}"/>
    <cellStyle name="Comma 6 3" xfId="356" xr:uid="{00000000-0005-0000-0000-000004070000}"/>
    <cellStyle name="Comma 6 3 2" xfId="838" xr:uid="{00000000-0005-0000-0000-000005070000}"/>
    <cellStyle name="Comma 6 3 2 2" xfId="2329" xr:uid="{00000000-0005-0000-0000-000006070000}"/>
    <cellStyle name="Comma 6 3 2 3" xfId="3780" xr:uid="{00000000-0005-0000-0000-000007070000}"/>
    <cellStyle name="Comma 6 3 2 4" xfId="5217" xr:uid="{00000000-0005-0000-0000-000008070000}"/>
    <cellStyle name="Comma 6 3 2 5" xfId="6663" xr:uid="{00000000-0005-0000-0000-000009070000}"/>
    <cellStyle name="Comma 6 3 2 6" xfId="8103" xr:uid="{00000000-0005-0000-0000-00000A070000}"/>
    <cellStyle name="Comma 6 3 2 7" xfId="9537" xr:uid="{00000000-0005-0000-0000-00000B070000}"/>
    <cellStyle name="Comma 6 3 3" xfId="1392" xr:uid="{00000000-0005-0000-0000-00000C070000}"/>
    <cellStyle name="Comma 6 3 3 2" xfId="2867" xr:uid="{00000000-0005-0000-0000-00000D070000}"/>
    <cellStyle name="Comma 6 3 3 3" xfId="4304" xr:uid="{00000000-0005-0000-0000-00000E070000}"/>
    <cellStyle name="Comma 6 3 3 4" xfId="5741" xr:uid="{00000000-0005-0000-0000-00000F070000}"/>
    <cellStyle name="Comma 6 3 3 5" xfId="7187" xr:uid="{00000000-0005-0000-0000-000010070000}"/>
    <cellStyle name="Comma 6 3 3 6" xfId="8628" xr:uid="{00000000-0005-0000-0000-000011070000}"/>
    <cellStyle name="Comma 6 3 3 7" xfId="10061" xr:uid="{00000000-0005-0000-0000-000012070000}"/>
    <cellStyle name="Comma 6 3 4" xfId="1866" xr:uid="{00000000-0005-0000-0000-000013070000}"/>
    <cellStyle name="Comma 6 3 5" xfId="3323" xr:uid="{00000000-0005-0000-0000-000014070000}"/>
    <cellStyle name="Comma 6 3 6" xfId="4760" xr:uid="{00000000-0005-0000-0000-000015070000}"/>
    <cellStyle name="Comma 6 3 7" xfId="6206" xr:uid="{00000000-0005-0000-0000-000016070000}"/>
    <cellStyle name="Comma 6 3 8" xfId="7644" xr:uid="{00000000-0005-0000-0000-000017070000}"/>
    <cellStyle name="Comma 6 3 9" xfId="9081" xr:uid="{00000000-0005-0000-0000-000018070000}"/>
    <cellStyle name="Comma 6 4" xfId="495" xr:uid="{00000000-0005-0000-0000-000019070000}"/>
    <cellStyle name="Comma 6 4 2" xfId="974" xr:uid="{00000000-0005-0000-0000-00001A070000}"/>
    <cellStyle name="Comma 6 4 2 2" xfId="2465" xr:uid="{00000000-0005-0000-0000-00001B070000}"/>
    <cellStyle name="Comma 6 4 2 3" xfId="3912" xr:uid="{00000000-0005-0000-0000-00001C070000}"/>
    <cellStyle name="Comma 6 4 2 4" xfId="5349" xr:uid="{00000000-0005-0000-0000-00001D070000}"/>
    <cellStyle name="Comma 6 4 2 5" xfId="6795" xr:uid="{00000000-0005-0000-0000-00001E070000}"/>
    <cellStyle name="Comma 6 4 2 6" xfId="8235" xr:uid="{00000000-0005-0000-0000-00001F070000}"/>
    <cellStyle name="Comma 6 4 2 7" xfId="9669" xr:uid="{00000000-0005-0000-0000-000020070000}"/>
    <cellStyle name="Comma 6 4 3" xfId="1526" xr:uid="{00000000-0005-0000-0000-000021070000}"/>
    <cellStyle name="Comma 6 4 3 2" xfId="2999" xr:uid="{00000000-0005-0000-0000-000022070000}"/>
    <cellStyle name="Comma 6 4 3 3" xfId="4436" xr:uid="{00000000-0005-0000-0000-000023070000}"/>
    <cellStyle name="Comma 6 4 3 4" xfId="5873" xr:uid="{00000000-0005-0000-0000-000024070000}"/>
    <cellStyle name="Comma 6 4 3 5" xfId="7319" xr:uid="{00000000-0005-0000-0000-000025070000}"/>
    <cellStyle name="Comma 6 4 3 6" xfId="8760" xr:uid="{00000000-0005-0000-0000-000026070000}"/>
    <cellStyle name="Comma 6 4 3 7" xfId="10193" xr:uid="{00000000-0005-0000-0000-000027070000}"/>
    <cellStyle name="Comma 6 4 4" xfId="1998" xr:uid="{00000000-0005-0000-0000-000028070000}"/>
    <cellStyle name="Comma 6 4 5" xfId="3455" xr:uid="{00000000-0005-0000-0000-000029070000}"/>
    <cellStyle name="Comma 6 4 6" xfId="4892" xr:uid="{00000000-0005-0000-0000-00002A070000}"/>
    <cellStyle name="Comma 6 4 7" xfId="6338" xr:uid="{00000000-0005-0000-0000-00002B070000}"/>
    <cellStyle name="Comma 6 4 8" xfId="7776" xr:uid="{00000000-0005-0000-0000-00002C070000}"/>
    <cellStyle name="Comma 6 4 9" xfId="9213" xr:uid="{00000000-0005-0000-0000-00002D070000}"/>
    <cellStyle name="Comma 6 5" xfId="560" xr:uid="{00000000-0005-0000-0000-00002E070000}"/>
    <cellStyle name="Comma 6 5 2" xfId="1039" xr:uid="{00000000-0005-0000-0000-00002F070000}"/>
    <cellStyle name="Comma 6 5 2 2" xfId="2530" xr:uid="{00000000-0005-0000-0000-000030070000}"/>
    <cellStyle name="Comma 6 5 2 3" xfId="3977" xr:uid="{00000000-0005-0000-0000-000031070000}"/>
    <cellStyle name="Comma 6 5 2 4" xfId="5414" xr:uid="{00000000-0005-0000-0000-000032070000}"/>
    <cellStyle name="Comma 6 5 2 5" xfId="6860" xr:uid="{00000000-0005-0000-0000-000033070000}"/>
    <cellStyle name="Comma 6 5 2 6" xfId="8300" xr:uid="{00000000-0005-0000-0000-000034070000}"/>
    <cellStyle name="Comma 6 5 2 7" xfId="9734" xr:uid="{00000000-0005-0000-0000-000035070000}"/>
    <cellStyle name="Comma 6 5 3" xfId="1591" xr:uid="{00000000-0005-0000-0000-000036070000}"/>
    <cellStyle name="Comma 6 5 3 2" xfId="3064" xr:uid="{00000000-0005-0000-0000-000037070000}"/>
    <cellStyle name="Comma 6 5 3 3" xfId="4501" xr:uid="{00000000-0005-0000-0000-000038070000}"/>
    <cellStyle name="Comma 6 5 3 4" xfId="5938" xr:uid="{00000000-0005-0000-0000-000039070000}"/>
    <cellStyle name="Comma 6 5 3 5" xfId="7384" xr:uid="{00000000-0005-0000-0000-00003A070000}"/>
    <cellStyle name="Comma 6 5 3 6" xfId="8825" xr:uid="{00000000-0005-0000-0000-00003B070000}"/>
    <cellStyle name="Comma 6 5 3 7" xfId="10258" xr:uid="{00000000-0005-0000-0000-00003C070000}"/>
    <cellStyle name="Comma 6 5 4" xfId="2063" xr:uid="{00000000-0005-0000-0000-00003D070000}"/>
    <cellStyle name="Comma 6 5 5" xfId="3520" xr:uid="{00000000-0005-0000-0000-00003E070000}"/>
    <cellStyle name="Comma 6 5 6" xfId="4957" xr:uid="{00000000-0005-0000-0000-00003F070000}"/>
    <cellStyle name="Comma 6 5 7" xfId="6403" xr:uid="{00000000-0005-0000-0000-000040070000}"/>
    <cellStyle name="Comma 6 5 8" xfId="7841" xr:uid="{00000000-0005-0000-0000-000041070000}"/>
    <cellStyle name="Comma 6 5 9" xfId="9277" xr:uid="{00000000-0005-0000-0000-000042070000}"/>
    <cellStyle name="Comma 6 6" xfId="702" xr:uid="{00000000-0005-0000-0000-000043070000}"/>
    <cellStyle name="Comma 6 6 2" xfId="2193" xr:uid="{00000000-0005-0000-0000-000044070000}"/>
    <cellStyle name="Comma 6 6 3" xfId="3650" xr:uid="{00000000-0005-0000-0000-000045070000}"/>
    <cellStyle name="Comma 6 6 4" xfId="5087" xr:uid="{00000000-0005-0000-0000-000046070000}"/>
    <cellStyle name="Comma 6 6 5" xfId="6533" xr:uid="{00000000-0005-0000-0000-000047070000}"/>
    <cellStyle name="Comma 6 6 6" xfId="7972" xr:uid="{00000000-0005-0000-0000-000048070000}"/>
    <cellStyle name="Comma 6 6 7" xfId="9407" xr:uid="{00000000-0005-0000-0000-000049070000}"/>
    <cellStyle name="Comma 6 7" xfId="1193" xr:uid="{00000000-0005-0000-0000-00004A070000}"/>
    <cellStyle name="Comma 6 7 2" xfId="2672" xr:uid="{00000000-0005-0000-0000-00004B070000}"/>
    <cellStyle name="Comma 6 7 3" xfId="4109" xr:uid="{00000000-0005-0000-0000-00004C070000}"/>
    <cellStyle name="Comma 6 7 4" xfId="5546" xr:uid="{00000000-0005-0000-0000-00004D070000}"/>
    <cellStyle name="Comma 6 7 5" xfId="6992" xr:uid="{00000000-0005-0000-0000-00004E070000}"/>
    <cellStyle name="Comma 6 7 6" xfId="8433" xr:uid="{00000000-0005-0000-0000-00004F070000}"/>
    <cellStyle name="Comma 6 7 7" xfId="9866" xr:uid="{00000000-0005-0000-0000-000050070000}"/>
    <cellStyle name="Comma 6 8" xfId="1258" xr:uid="{00000000-0005-0000-0000-000051070000}"/>
    <cellStyle name="Comma 6 8 2" xfId="2737" xr:uid="{00000000-0005-0000-0000-000052070000}"/>
    <cellStyle name="Comma 6 8 3" xfId="4174" xr:uid="{00000000-0005-0000-0000-000053070000}"/>
    <cellStyle name="Comma 6 8 4" xfId="5611" xr:uid="{00000000-0005-0000-0000-000054070000}"/>
    <cellStyle name="Comma 6 8 5" xfId="7057" xr:uid="{00000000-0005-0000-0000-000055070000}"/>
    <cellStyle name="Comma 6 8 6" xfId="8498" xr:uid="{00000000-0005-0000-0000-000056070000}"/>
    <cellStyle name="Comma 6 8 7" xfId="9931" xr:uid="{00000000-0005-0000-0000-000057070000}"/>
    <cellStyle name="Comma 6 9" xfId="1736" xr:uid="{00000000-0005-0000-0000-000058070000}"/>
    <cellStyle name="Comma 7" xfId="256" xr:uid="{00000000-0005-0000-0000-000059070000}"/>
    <cellStyle name="Comma 7 10" xfId="7545" xr:uid="{00000000-0005-0000-0000-00005A070000}"/>
    <cellStyle name="Comma 7 11" xfId="6038" xr:uid="{00000000-0005-0000-0000-00005B070000}"/>
    <cellStyle name="Comma 7 12" xfId="6036" xr:uid="{00000000-0005-0000-0000-00005C070000}"/>
    <cellStyle name="Comma 7 2" xfId="391" xr:uid="{00000000-0005-0000-0000-00005D070000}"/>
    <cellStyle name="Comma 7 2 2" xfId="873" xr:uid="{00000000-0005-0000-0000-00005E070000}"/>
    <cellStyle name="Comma 7 2 2 2" xfId="2364" xr:uid="{00000000-0005-0000-0000-00005F070000}"/>
    <cellStyle name="Comma 7 2 2 3" xfId="3811" xr:uid="{00000000-0005-0000-0000-000060070000}"/>
    <cellStyle name="Comma 7 2 2 4" xfId="5248" xr:uid="{00000000-0005-0000-0000-000061070000}"/>
    <cellStyle name="Comma 7 2 2 5" xfId="6694" xr:uid="{00000000-0005-0000-0000-000062070000}"/>
    <cellStyle name="Comma 7 2 2 6" xfId="8134" xr:uid="{00000000-0005-0000-0000-000063070000}"/>
    <cellStyle name="Comma 7 2 2 7" xfId="9568" xr:uid="{00000000-0005-0000-0000-000064070000}"/>
    <cellStyle name="Comma 7 2 3" xfId="1425" xr:uid="{00000000-0005-0000-0000-000065070000}"/>
    <cellStyle name="Comma 7 2 3 2" xfId="2898" xr:uid="{00000000-0005-0000-0000-000066070000}"/>
    <cellStyle name="Comma 7 2 3 3" xfId="4335" xr:uid="{00000000-0005-0000-0000-000067070000}"/>
    <cellStyle name="Comma 7 2 3 4" xfId="5772" xr:uid="{00000000-0005-0000-0000-000068070000}"/>
    <cellStyle name="Comma 7 2 3 5" xfId="7218" xr:uid="{00000000-0005-0000-0000-000069070000}"/>
    <cellStyle name="Comma 7 2 3 6" xfId="8659" xr:uid="{00000000-0005-0000-0000-00006A070000}"/>
    <cellStyle name="Comma 7 2 3 7" xfId="10092" xr:uid="{00000000-0005-0000-0000-00006B070000}"/>
    <cellStyle name="Comma 7 2 4" xfId="1897" xr:uid="{00000000-0005-0000-0000-00006C070000}"/>
    <cellStyle name="Comma 7 2 5" xfId="3354" xr:uid="{00000000-0005-0000-0000-00006D070000}"/>
    <cellStyle name="Comma 7 2 6" xfId="4791" xr:uid="{00000000-0005-0000-0000-00006E070000}"/>
    <cellStyle name="Comma 7 2 7" xfId="6237" xr:uid="{00000000-0005-0000-0000-00006F070000}"/>
    <cellStyle name="Comma 7 2 8" xfId="7675" xr:uid="{00000000-0005-0000-0000-000070070000}"/>
    <cellStyle name="Comma 7 2 9" xfId="9112" xr:uid="{00000000-0005-0000-0000-000071070000}"/>
    <cellStyle name="Comma 7 3" xfId="595" xr:uid="{00000000-0005-0000-0000-000072070000}"/>
    <cellStyle name="Comma 7 3 2" xfId="1074" xr:uid="{00000000-0005-0000-0000-000073070000}"/>
    <cellStyle name="Comma 7 3 2 2" xfId="2565" xr:uid="{00000000-0005-0000-0000-000074070000}"/>
    <cellStyle name="Comma 7 3 2 3" xfId="4008" xr:uid="{00000000-0005-0000-0000-000075070000}"/>
    <cellStyle name="Comma 7 3 2 4" xfId="5445" xr:uid="{00000000-0005-0000-0000-000076070000}"/>
    <cellStyle name="Comma 7 3 2 5" xfId="6891" xr:uid="{00000000-0005-0000-0000-000077070000}"/>
    <cellStyle name="Comma 7 3 2 6" xfId="8331" xr:uid="{00000000-0005-0000-0000-000078070000}"/>
    <cellStyle name="Comma 7 3 2 7" xfId="9765" xr:uid="{00000000-0005-0000-0000-000079070000}"/>
    <cellStyle name="Comma 7 3 3" xfId="1624" xr:uid="{00000000-0005-0000-0000-00007A070000}"/>
    <cellStyle name="Comma 7 3 3 2" xfId="3095" xr:uid="{00000000-0005-0000-0000-00007B070000}"/>
    <cellStyle name="Comma 7 3 3 3" xfId="4532" xr:uid="{00000000-0005-0000-0000-00007C070000}"/>
    <cellStyle name="Comma 7 3 3 4" xfId="5969" xr:uid="{00000000-0005-0000-0000-00007D070000}"/>
    <cellStyle name="Comma 7 3 3 5" xfId="7415" xr:uid="{00000000-0005-0000-0000-00007E070000}"/>
    <cellStyle name="Comma 7 3 3 6" xfId="8856" xr:uid="{00000000-0005-0000-0000-00007F070000}"/>
    <cellStyle name="Comma 7 3 3 7" xfId="10289" xr:uid="{00000000-0005-0000-0000-000080070000}"/>
    <cellStyle name="Comma 7 3 4" xfId="2094" xr:uid="{00000000-0005-0000-0000-000081070000}"/>
    <cellStyle name="Comma 7 3 5" xfId="3551" xr:uid="{00000000-0005-0000-0000-000082070000}"/>
    <cellStyle name="Comma 7 3 6" xfId="4988" xr:uid="{00000000-0005-0000-0000-000083070000}"/>
    <cellStyle name="Comma 7 3 7" xfId="6434" xr:uid="{00000000-0005-0000-0000-000084070000}"/>
    <cellStyle name="Comma 7 3 8" xfId="7873" xr:uid="{00000000-0005-0000-0000-000085070000}"/>
    <cellStyle name="Comma 7 3 9" xfId="9308" xr:uid="{00000000-0005-0000-0000-000086070000}"/>
    <cellStyle name="Comma 7 4" xfId="737" xr:uid="{00000000-0005-0000-0000-000087070000}"/>
    <cellStyle name="Comma 7 4 2" xfId="2228" xr:uid="{00000000-0005-0000-0000-000088070000}"/>
    <cellStyle name="Comma 7 4 3" xfId="3681" xr:uid="{00000000-0005-0000-0000-000089070000}"/>
    <cellStyle name="Comma 7 4 4" xfId="5118" xr:uid="{00000000-0005-0000-0000-00008A070000}"/>
    <cellStyle name="Comma 7 4 5" xfId="6564" xr:uid="{00000000-0005-0000-0000-00008B070000}"/>
    <cellStyle name="Comma 7 4 6" xfId="8004" xr:uid="{00000000-0005-0000-0000-00008C070000}"/>
    <cellStyle name="Comma 7 4 7" xfId="9438" xr:uid="{00000000-0005-0000-0000-00008D070000}"/>
    <cellStyle name="Comma 7 5" xfId="1293" xr:uid="{00000000-0005-0000-0000-00008E070000}"/>
    <cellStyle name="Comma 7 5 2" xfId="2768" xr:uid="{00000000-0005-0000-0000-00008F070000}"/>
    <cellStyle name="Comma 7 5 3" xfId="4205" xr:uid="{00000000-0005-0000-0000-000090070000}"/>
    <cellStyle name="Comma 7 5 4" xfId="5642" xr:uid="{00000000-0005-0000-0000-000091070000}"/>
    <cellStyle name="Comma 7 5 5" xfId="7088" xr:uid="{00000000-0005-0000-0000-000092070000}"/>
    <cellStyle name="Comma 7 5 6" xfId="8529" xr:uid="{00000000-0005-0000-0000-000093070000}"/>
    <cellStyle name="Comma 7 5 7" xfId="9962" xr:uid="{00000000-0005-0000-0000-000094070000}"/>
    <cellStyle name="Comma 7 6" xfId="1767" xr:uid="{00000000-0005-0000-0000-000095070000}"/>
    <cellStyle name="Comma 7 7" xfId="3224" xr:uid="{00000000-0005-0000-0000-000096070000}"/>
    <cellStyle name="Comma 7 8" xfId="4661" xr:uid="{00000000-0005-0000-0000-000097070000}"/>
    <cellStyle name="Comma 7 9" xfId="6107" xr:uid="{00000000-0005-0000-0000-000098070000}"/>
    <cellStyle name="Comma 8" xfId="322" xr:uid="{00000000-0005-0000-0000-000099070000}"/>
    <cellStyle name="Comma 8 10" xfId="6034" xr:uid="{00000000-0005-0000-0000-00009A070000}"/>
    <cellStyle name="Comma 8 2" xfId="804" xr:uid="{00000000-0005-0000-0000-00009B070000}"/>
    <cellStyle name="Comma 8 2 2" xfId="2295" xr:uid="{00000000-0005-0000-0000-00009C070000}"/>
    <cellStyle name="Comma 8 2 3" xfId="3746" xr:uid="{00000000-0005-0000-0000-00009D070000}"/>
    <cellStyle name="Comma 8 2 4" xfId="5183" xr:uid="{00000000-0005-0000-0000-00009E070000}"/>
    <cellStyle name="Comma 8 2 5" xfId="6629" xr:uid="{00000000-0005-0000-0000-00009F070000}"/>
    <cellStyle name="Comma 8 2 6" xfId="8069" xr:uid="{00000000-0005-0000-0000-0000A0070000}"/>
    <cellStyle name="Comma 8 2 7" xfId="9503" xr:uid="{00000000-0005-0000-0000-0000A1070000}"/>
    <cellStyle name="Comma 8 3" xfId="1358" xr:uid="{00000000-0005-0000-0000-0000A2070000}"/>
    <cellStyle name="Comma 8 3 2" xfId="2833" xr:uid="{00000000-0005-0000-0000-0000A3070000}"/>
    <cellStyle name="Comma 8 3 3" xfId="4270" xr:uid="{00000000-0005-0000-0000-0000A4070000}"/>
    <cellStyle name="Comma 8 3 4" xfId="5707" xr:uid="{00000000-0005-0000-0000-0000A5070000}"/>
    <cellStyle name="Comma 8 3 5" xfId="7153" xr:uid="{00000000-0005-0000-0000-0000A6070000}"/>
    <cellStyle name="Comma 8 3 6" xfId="8594" xr:uid="{00000000-0005-0000-0000-0000A7070000}"/>
    <cellStyle name="Comma 8 3 7" xfId="10027" xr:uid="{00000000-0005-0000-0000-0000A8070000}"/>
    <cellStyle name="Comma 8 4" xfId="1832" xr:uid="{00000000-0005-0000-0000-0000A9070000}"/>
    <cellStyle name="Comma 8 5" xfId="3289" xr:uid="{00000000-0005-0000-0000-0000AA070000}"/>
    <cellStyle name="Comma 8 6" xfId="4726" xr:uid="{00000000-0005-0000-0000-0000AB070000}"/>
    <cellStyle name="Comma 8 7" xfId="6172" xr:uid="{00000000-0005-0000-0000-0000AC070000}"/>
    <cellStyle name="Comma 8 8" xfId="7610" xr:uid="{00000000-0005-0000-0000-0000AD070000}"/>
    <cellStyle name="Comma 8 9" xfId="6039" xr:uid="{00000000-0005-0000-0000-0000AE070000}"/>
    <cellStyle name="Comma 9" xfId="526" xr:uid="{00000000-0005-0000-0000-0000AF070000}"/>
    <cellStyle name="Comma 9 2" xfId="1005" xr:uid="{00000000-0005-0000-0000-0000B0070000}"/>
    <cellStyle name="Comma 9 2 2" xfId="2496" xr:uid="{00000000-0005-0000-0000-0000B1070000}"/>
    <cellStyle name="Comma 9 2 3" xfId="3943" xr:uid="{00000000-0005-0000-0000-0000B2070000}"/>
    <cellStyle name="Comma 9 2 4" xfId="5380" xr:uid="{00000000-0005-0000-0000-0000B3070000}"/>
    <cellStyle name="Comma 9 2 5" xfId="6826" xr:uid="{00000000-0005-0000-0000-0000B4070000}"/>
    <cellStyle name="Comma 9 2 6" xfId="8266" xr:uid="{00000000-0005-0000-0000-0000B5070000}"/>
    <cellStyle name="Comma 9 2 7" xfId="9700" xr:uid="{00000000-0005-0000-0000-0000B6070000}"/>
    <cellStyle name="Comma 9 3" xfId="1557" xr:uid="{00000000-0005-0000-0000-0000B7070000}"/>
    <cellStyle name="Comma 9 3 2" xfId="3030" xr:uid="{00000000-0005-0000-0000-0000B8070000}"/>
    <cellStyle name="Comma 9 3 3" xfId="4467" xr:uid="{00000000-0005-0000-0000-0000B9070000}"/>
    <cellStyle name="Comma 9 3 4" xfId="5904" xr:uid="{00000000-0005-0000-0000-0000BA070000}"/>
    <cellStyle name="Comma 9 3 5" xfId="7350" xr:uid="{00000000-0005-0000-0000-0000BB070000}"/>
    <cellStyle name="Comma 9 3 6" xfId="8791" xr:uid="{00000000-0005-0000-0000-0000BC070000}"/>
    <cellStyle name="Comma 9 3 7" xfId="10224" xr:uid="{00000000-0005-0000-0000-0000BD070000}"/>
    <cellStyle name="Comma 9 4" xfId="2029" xr:uid="{00000000-0005-0000-0000-0000BE070000}"/>
    <cellStyle name="Comma 9 5" xfId="3486" xr:uid="{00000000-0005-0000-0000-0000BF070000}"/>
    <cellStyle name="Comma 9 6" xfId="4923" xr:uid="{00000000-0005-0000-0000-0000C0070000}"/>
    <cellStyle name="Comma 9 7" xfId="6369" xr:uid="{00000000-0005-0000-0000-0000C1070000}"/>
    <cellStyle name="Comma 9 8" xfId="7807" xr:uid="{00000000-0005-0000-0000-0000C2070000}"/>
    <cellStyle name="Comma 9 9" xfId="9244" xr:uid="{00000000-0005-0000-0000-0000C3070000}"/>
    <cellStyle name="Día" xfId="10379" xr:uid="{221D1152-F916-E64B-9011-F06A3CCEF55D}"/>
    <cellStyle name="Día de la semana" xfId="10378" xr:uid="{674955EF-1EC4-B74D-934C-333B63AEE8E4}"/>
    <cellStyle name="Encabezado 1" xfId="10377" builtinId="16"/>
    <cellStyle name="Encabezado 4 2" xfId="15" xr:uid="{00000000-0005-0000-0000-0000C4070000}"/>
    <cellStyle name="Entrada 2" xfId="16" xr:uid="{00000000-0005-0000-0000-0000C5070000}"/>
    <cellStyle name="Entrada 2 2" xfId="317" xr:uid="{00000000-0005-0000-0000-0000C6070000}"/>
    <cellStyle name="Entrada 2 2 2" xfId="455" xr:uid="{00000000-0005-0000-0000-0000C7070000}"/>
    <cellStyle name="Entrada 2 2 2 2" xfId="659" xr:uid="{00000000-0005-0000-0000-0000C8070000}"/>
    <cellStyle name="Entrada 2 2 2 2 2" xfId="1150" xr:uid="{00000000-0005-0000-0000-0000C9070000}"/>
    <cellStyle name="Entrada 2 2 2 2 2 2" xfId="1696" xr:uid="{00000000-0005-0000-0000-0000CA070000}"/>
    <cellStyle name="Entrada 2 2 2 2 3" xfId="1138" xr:uid="{00000000-0005-0000-0000-0000CB070000}"/>
    <cellStyle name="Entrada 2 2 2 2 3 2" xfId="2629" xr:uid="{00000000-0005-0000-0000-0000CC070000}"/>
    <cellStyle name="Entrada 2 2 2 3" xfId="665" xr:uid="{00000000-0005-0000-0000-0000CD070000}"/>
    <cellStyle name="Entrada 2 2 2 3 2" xfId="1154" xr:uid="{00000000-0005-0000-0000-0000CE070000}"/>
    <cellStyle name="Entrada 2 2 2 3 2 2" xfId="1700" xr:uid="{00000000-0005-0000-0000-0000CF070000}"/>
    <cellStyle name="Entrada 2 2 2 3 3" xfId="1142" xr:uid="{00000000-0005-0000-0000-0000D0070000}"/>
    <cellStyle name="Entrada 2 2 2 3 3 2" xfId="2633" xr:uid="{00000000-0005-0000-0000-0000D1070000}"/>
    <cellStyle name="Entrada 2 2 2 4" xfId="1146" xr:uid="{00000000-0005-0000-0000-0000D2070000}"/>
    <cellStyle name="Entrada 2 2 2 4 2" xfId="1692" xr:uid="{00000000-0005-0000-0000-0000D3070000}"/>
    <cellStyle name="Entrada 2 2 2 5" xfId="801" xr:uid="{00000000-0005-0000-0000-0000D4070000}"/>
    <cellStyle name="Entrada 2 2 2 5 2" xfId="2292" xr:uid="{00000000-0005-0000-0000-0000D5070000}"/>
    <cellStyle name="Entrada 2 2 3" xfId="386" xr:uid="{00000000-0005-0000-0000-0000D6070000}"/>
    <cellStyle name="Entrada 2 2 3 2" xfId="1144" xr:uid="{00000000-0005-0000-0000-0000D7070000}"/>
    <cellStyle name="Entrada 2 2 3 2 2" xfId="1690" xr:uid="{00000000-0005-0000-0000-0000D8070000}"/>
    <cellStyle name="Entrada 2 2 3 3" xfId="868" xr:uid="{00000000-0005-0000-0000-0000D9070000}"/>
    <cellStyle name="Entrada 2 2 3 3 2" xfId="2359" xr:uid="{00000000-0005-0000-0000-0000DA070000}"/>
    <cellStyle name="Entrada 2 2 4" xfId="590" xr:uid="{00000000-0005-0000-0000-0000DB070000}"/>
    <cellStyle name="Entrada 2 2 4 2" xfId="1148" xr:uid="{00000000-0005-0000-0000-0000DC070000}"/>
    <cellStyle name="Entrada 2 2 4 2 2" xfId="1694" xr:uid="{00000000-0005-0000-0000-0000DD070000}"/>
    <cellStyle name="Entrada 2 2 4 3" xfId="1069" xr:uid="{00000000-0005-0000-0000-0000DE070000}"/>
    <cellStyle name="Entrada 2 2 4 3 2" xfId="2560" xr:uid="{00000000-0005-0000-0000-0000DF070000}"/>
    <cellStyle name="Entrada 2 2 5" xfId="661" xr:uid="{00000000-0005-0000-0000-0000E0070000}"/>
    <cellStyle name="Entrada 2 2 5 2" xfId="1152" xr:uid="{00000000-0005-0000-0000-0000E1070000}"/>
    <cellStyle name="Entrada 2 2 5 2 2" xfId="1698" xr:uid="{00000000-0005-0000-0000-0000E2070000}"/>
    <cellStyle name="Entrada 2 2 6" xfId="732" xr:uid="{00000000-0005-0000-0000-0000E3070000}"/>
    <cellStyle name="Entrada 2 2 6 2" xfId="2223" xr:uid="{00000000-0005-0000-0000-0000E4070000}"/>
    <cellStyle name="Entrada 2 2 7" xfId="1288" xr:uid="{00000000-0005-0000-0000-0000E5070000}"/>
    <cellStyle name="Euro" xfId="17" xr:uid="{00000000-0005-0000-0000-0000E6070000}"/>
    <cellStyle name="Euro 2" xfId="18" xr:uid="{00000000-0005-0000-0000-0000E7070000}"/>
    <cellStyle name="Euro 2 2" xfId="86" xr:uid="{00000000-0005-0000-0000-0000E8070000}"/>
    <cellStyle name="Euro 2 2 2" xfId="186" xr:uid="{00000000-0005-0000-0000-0000E9070000}"/>
    <cellStyle name="Euro 2 3" xfId="129" xr:uid="{00000000-0005-0000-0000-0000EA070000}"/>
    <cellStyle name="Euro 3" xfId="85" xr:uid="{00000000-0005-0000-0000-0000EB070000}"/>
    <cellStyle name="Euro 3 2" xfId="185" xr:uid="{00000000-0005-0000-0000-0000EC070000}"/>
    <cellStyle name="Euro 4" xfId="128" xr:uid="{00000000-0005-0000-0000-0000ED070000}"/>
    <cellStyle name="Hipervínculo" xfId="10375" builtinId="8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yperlink 2" xfId="6" xr:uid="{00000000-0005-0000-0000-0000FF070000}"/>
    <cellStyle name="Hyperlink 2 2" xfId="19" xr:uid="{00000000-0005-0000-0000-000000080000}"/>
    <cellStyle name="Hyperlink 3" xfId="8" xr:uid="{00000000-0005-0000-0000-000001080000}"/>
    <cellStyle name="Hyperlink 3 2" xfId="81" xr:uid="{00000000-0005-0000-0000-000002080000}"/>
    <cellStyle name="Hyperlink 3 3" xfId="87" xr:uid="{00000000-0005-0000-0000-000003080000}"/>
    <cellStyle name="Hyperlink 4" xfId="459" xr:uid="{00000000-0005-0000-0000-000004080000}"/>
    <cellStyle name="Hyperlink 5" xfId="6033" xr:uid="{00000000-0005-0000-0000-000005080000}"/>
    <cellStyle name="Hyperlink 5 2" xfId="8002" xr:uid="{00000000-0005-0000-0000-000006080000}"/>
    <cellStyle name="Hyperlink 6" xfId="10353" xr:uid="{00000000-0005-0000-0000-000007080000}"/>
    <cellStyle name="Millares" xfId="10356" builtinId="3"/>
    <cellStyle name="Millares 10" xfId="10357" xr:uid="{00000000-0005-0000-0000-000009080000}"/>
    <cellStyle name="Millares 2" xfId="20" xr:uid="{00000000-0005-0000-0000-00000A080000}"/>
    <cellStyle name="Millares 2 2" xfId="21" xr:uid="{00000000-0005-0000-0000-00000B080000}"/>
    <cellStyle name="Millares 2 2 2" xfId="22" xr:uid="{00000000-0005-0000-0000-00000C080000}"/>
    <cellStyle name="Millares 2 2 2 2" xfId="132" xr:uid="{00000000-0005-0000-0000-00000D080000}"/>
    <cellStyle name="Millares 2 2 3" xfId="131" xr:uid="{00000000-0005-0000-0000-00000E080000}"/>
    <cellStyle name="Millares 2 3" xfId="23" xr:uid="{00000000-0005-0000-0000-00000F080000}"/>
    <cellStyle name="Millares 2 3 2" xfId="89" xr:uid="{00000000-0005-0000-0000-000010080000}"/>
    <cellStyle name="Millares 2 3 2 2" xfId="188" xr:uid="{00000000-0005-0000-0000-000011080000}"/>
    <cellStyle name="Millares 2 3 3" xfId="133" xr:uid="{00000000-0005-0000-0000-000012080000}"/>
    <cellStyle name="Millares 2 4" xfId="24" xr:uid="{00000000-0005-0000-0000-000013080000}"/>
    <cellStyle name="Millares 2 4 2" xfId="25" xr:uid="{00000000-0005-0000-0000-000014080000}"/>
    <cellStyle name="Millares 2 4 2 2" xfId="135" xr:uid="{00000000-0005-0000-0000-000015080000}"/>
    <cellStyle name="Millares 2 4 3" xfId="134" xr:uid="{00000000-0005-0000-0000-000016080000}"/>
    <cellStyle name="Millares 2 5" xfId="88" xr:uid="{00000000-0005-0000-0000-000017080000}"/>
    <cellStyle name="Millares 2 5 2" xfId="187" xr:uid="{00000000-0005-0000-0000-000018080000}"/>
    <cellStyle name="Millares 2 6" xfId="130" xr:uid="{00000000-0005-0000-0000-000019080000}"/>
    <cellStyle name="Millares 3" xfId="26" xr:uid="{00000000-0005-0000-0000-00001A080000}"/>
    <cellStyle name="Millares 3 2" xfId="90" xr:uid="{00000000-0005-0000-0000-00001B080000}"/>
    <cellStyle name="Millares 3 2 2" xfId="189" xr:uid="{00000000-0005-0000-0000-00001C080000}"/>
    <cellStyle name="Millares 3 3" xfId="136" xr:uid="{00000000-0005-0000-0000-00001D080000}"/>
    <cellStyle name="Millares 4" xfId="27" xr:uid="{00000000-0005-0000-0000-00001E080000}"/>
    <cellStyle name="Millares 4 2" xfId="91" xr:uid="{00000000-0005-0000-0000-00001F080000}"/>
    <cellStyle name="Millares 4 2 2" xfId="190" xr:uid="{00000000-0005-0000-0000-000020080000}"/>
    <cellStyle name="Millares 4 3" xfId="137" xr:uid="{00000000-0005-0000-0000-000021080000}"/>
    <cellStyle name="Millares 5" xfId="28" xr:uid="{00000000-0005-0000-0000-000022080000}"/>
    <cellStyle name="Millares 5 2" xfId="29" xr:uid="{00000000-0005-0000-0000-000023080000}"/>
    <cellStyle name="Millares 5 2 2" xfId="92" xr:uid="{00000000-0005-0000-0000-000024080000}"/>
    <cellStyle name="Millares 5 2 2 2" xfId="191" xr:uid="{00000000-0005-0000-0000-000025080000}"/>
    <cellStyle name="Millares 5 2 3" xfId="139" xr:uid="{00000000-0005-0000-0000-000026080000}"/>
    <cellStyle name="Millares 5 3" xfId="138" xr:uid="{00000000-0005-0000-0000-000027080000}"/>
    <cellStyle name="Millares 6" xfId="30" xr:uid="{00000000-0005-0000-0000-000028080000}"/>
    <cellStyle name="Millares 6 10" xfId="1158" xr:uid="{00000000-0005-0000-0000-000029080000}"/>
    <cellStyle name="Millares 6 10 2" xfId="2637" xr:uid="{00000000-0005-0000-0000-00002A080000}"/>
    <cellStyle name="Millares 6 10 3" xfId="4074" xr:uid="{00000000-0005-0000-0000-00002B080000}"/>
    <cellStyle name="Millares 6 10 4" xfId="5511" xr:uid="{00000000-0005-0000-0000-00002C080000}"/>
    <cellStyle name="Millares 6 10 5" xfId="6957" xr:uid="{00000000-0005-0000-0000-00002D080000}"/>
    <cellStyle name="Millares 6 10 6" xfId="8398" xr:uid="{00000000-0005-0000-0000-00002E080000}"/>
    <cellStyle name="Millares 6 10 7" xfId="9831" xr:uid="{00000000-0005-0000-0000-00002F080000}"/>
    <cellStyle name="Millares 6 11" xfId="1228" xr:uid="{00000000-0005-0000-0000-000030080000}"/>
    <cellStyle name="Millares 6 11 2" xfId="2707" xr:uid="{00000000-0005-0000-0000-000031080000}"/>
    <cellStyle name="Millares 6 11 3" xfId="4144" xr:uid="{00000000-0005-0000-0000-000032080000}"/>
    <cellStyle name="Millares 6 11 4" xfId="5581" xr:uid="{00000000-0005-0000-0000-000033080000}"/>
    <cellStyle name="Millares 6 11 5" xfId="7027" xr:uid="{00000000-0005-0000-0000-000034080000}"/>
    <cellStyle name="Millares 6 11 6" xfId="8468" xr:uid="{00000000-0005-0000-0000-000035080000}"/>
    <cellStyle name="Millares 6 11 7" xfId="9901" xr:uid="{00000000-0005-0000-0000-000036080000}"/>
    <cellStyle name="Millares 6 12" xfId="1707" xr:uid="{00000000-0005-0000-0000-000037080000}"/>
    <cellStyle name="Millares 6 13" xfId="3164" xr:uid="{00000000-0005-0000-0000-000038080000}"/>
    <cellStyle name="Millares 6 14" xfId="4601" xr:uid="{00000000-0005-0000-0000-000039080000}"/>
    <cellStyle name="Millares 6 15" xfId="6047" xr:uid="{00000000-0005-0000-0000-00003A080000}"/>
    <cellStyle name="Millares 6 16" xfId="7485" xr:uid="{00000000-0005-0000-0000-00003B080000}"/>
    <cellStyle name="Millares 6 17" xfId="8925" xr:uid="{00000000-0005-0000-0000-00003C080000}"/>
    <cellStyle name="Millares 6 2" xfId="122" xr:uid="{00000000-0005-0000-0000-00003D080000}"/>
    <cellStyle name="Millares 6 2 10" xfId="1236" xr:uid="{00000000-0005-0000-0000-00003E080000}"/>
    <cellStyle name="Millares 6 2 10 2" xfId="2715" xr:uid="{00000000-0005-0000-0000-00003F080000}"/>
    <cellStyle name="Millares 6 2 10 3" xfId="4152" xr:uid="{00000000-0005-0000-0000-000040080000}"/>
    <cellStyle name="Millares 6 2 10 4" xfId="5589" xr:uid="{00000000-0005-0000-0000-000041080000}"/>
    <cellStyle name="Millares 6 2 10 5" xfId="7035" xr:uid="{00000000-0005-0000-0000-000042080000}"/>
    <cellStyle name="Millares 6 2 10 6" xfId="8476" xr:uid="{00000000-0005-0000-0000-000043080000}"/>
    <cellStyle name="Millares 6 2 10 7" xfId="9909" xr:uid="{00000000-0005-0000-0000-000044080000}"/>
    <cellStyle name="Millares 6 2 11" xfId="1715" xr:uid="{00000000-0005-0000-0000-000045080000}"/>
    <cellStyle name="Millares 6 2 12" xfId="3172" xr:uid="{00000000-0005-0000-0000-000046080000}"/>
    <cellStyle name="Millares 6 2 13" xfId="4609" xr:uid="{00000000-0005-0000-0000-000047080000}"/>
    <cellStyle name="Millares 6 2 14" xfId="6055" xr:uid="{00000000-0005-0000-0000-000048080000}"/>
    <cellStyle name="Millares 6 2 15" xfId="7493" xr:uid="{00000000-0005-0000-0000-000049080000}"/>
    <cellStyle name="Millares 6 2 16" xfId="8933" xr:uid="{00000000-0005-0000-0000-00004A080000}"/>
    <cellStyle name="Millares 6 2 2" xfId="181" xr:uid="{00000000-0005-0000-0000-00004B080000}"/>
    <cellStyle name="Millares 6 2 2 10" xfId="1732" xr:uid="{00000000-0005-0000-0000-00004C080000}"/>
    <cellStyle name="Millares 6 2 2 11" xfId="3189" xr:uid="{00000000-0005-0000-0000-00004D080000}"/>
    <cellStyle name="Millares 6 2 2 12" xfId="4626" xr:uid="{00000000-0005-0000-0000-00004E080000}"/>
    <cellStyle name="Millares 6 2 2 13" xfId="6072" xr:uid="{00000000-0005-0000-0000-00004F080000}"/>
    <cellStyle name="Millares 6 2 2 14" xfId="7510" xr:uid="{00000000-0005-0000-0000-000050080000}"/>
    <cellStyle name="Millares 6 2 2 15" xfId="8950" xr:uid="{00000000-0005-0000-0000-000051080000}"/>
    <cellStyle name="Millares 6 2 2 2" xfId="246" xr:uid="{00000000-0005-0000-0000-000052080000}"/>
    <cellStyle name="Millares 6 2 2 2 10" xfId="3220" xr:uid="{00000000-0005-0000-0000-000053080000}"/>
    <cellStyle name="Millares 6 2 2 2 11" xfId="4657" xr:uid="{00000000-0005-0000-0000-000054080000}"/>
    <cellStyle name="Millares 6 2 2 2 12" xfId="6103" xr:uid="{00000000-0005-0000-0000-000055080000}"/>
    <cellStyle name="Millares 6 2 2 2 13" xfId="7541" xr:uid="{00000000-0005-0000-0000-000056080000}"/>
    <cellStyle name="Millares 6 2 2 2 14" xfId="8981" xr:uid="{00000000-0005-0000-0000-000057080000}"/>
    <cellStyle name="Millares 6 2 2 2 2" xfId="314" xr:uid="{00000000-0005-0000-0000-000058080000}"/>
    <cellStyle name="Millares 6 2 2 2 2 10" xfId="7606" xr:uid="{00000000-0005-0000-0000-000059080000}"/>
    <cellStyle name="Millares 6 2 2 2 2 11" xfId="9045" xr:uid="{00000000-0005-0000-0000-00005A080000}"/>
    <cellStyle name="Millares 6 2 2 2 2 2" xfId="452" xr:uid="{00000000-0005-0000-0000-00005B080000}"/>
    <cellStyle name="Millares 6 2 2 2 2 2 2" xfId="934" xr:uid="{00000000-0005-0000-0000-00005C080000}"/>
    <cellStyle name="Millares 6 2 2 2 2 2 2 2" xfId="2425" xr:uid="{00000000-0005-0000-0000-00005D080000}"/>
    <cellStyle name="Millares 6 2 2 2 2 2 2 3" xfId="3872" xr:uid="{00000000-0005-0000-0000-00005E080000}"/>
    <cellStyle name="Millares 6 2 2 2 2 2 2 4" xfId="5309" xr:uid="{00000000-0005-0000-0000-00005F080000}"/>
    <cellStyle name="Millares 6 2 2 2 2 2 2 5" xfId="6755" xr:uid="{00000000-0005-0000-0000-000060080000}"/>
    <cellStyle name="Millares 6 2 2 2 2 2 2 6" xfId="8195" xr:uid="{00000000-0005-0000-0000-000061080000}"/>
    <cellStyle name="Millares 6 2 2 2 2 2 2 7" xfId="9629" xr:uid="{00000000-0005-0000-0000-000062080000}"/>
    <cellStyle name="Millares 6 2 2 2 2 2 3" xfId="1486" xr:uid="{00000000-0005-0000-0000-000063080000}"/>
    <cellStyle name="Millares 6 2 2 2 2 2 3 2" xfId="2959" xr:uid="{00000000-0005-0000-0000-000064080000}"/>
    <cellStyle name="Millares 6 2 2 2 2 2 3 3" xfId="4396" xr:uid="{00000000-0005-0000-0000-000065080000}"/>
    <cellStyle name="Millares 6 2 2 2 2 2 3 4" xfId="5833" xr:uid="{00000000-0005-0000-0000-000066080000}"/>
    <cellStyle name="Millares 6 2 2 2 2 2 3 5" xfId="7279" xr:uid="{00000000-0005-0000-0000-000067080000}"/>
    <cellStyle name="Millares 6 2 2 2 2 2 3 6" xfId="8720" xr:uid="{00000000-0005-0000-0000-000068080000}"/>
    <cellStyle name="Millares 6 2 2 2 2 2 3 7" xfId="10153" xr:uid="{00000000-0005-0000-0000-000069080000}"/>
    <cellStyle name="Millares 6 2 2 2 2 2 4" xfId="1958" xr:uid="{00000000-0005-0000-0000-00006A080000}"/>
    <cellStyle name="Millares 6 2 2 2 2 2 5" xfId="3415" xr:uid="{00000000-0005-0000-0000-00006B080000}"/>
    <cellStyle name="Millares 6 2 2 2 2 2 6" xfId="4852" xr:uid="{00000000-0005-0000-0000-00006C080000}"/>
    <cellStyle name="Millares 6 2 2 2 2 2 7" xfId="6298" xr:uid="{00000000-0005-0000-0000-00006D080000}"/>
    <cellStyle name="Millares 6 2 2 2 2 2 8" xfId="7736" xr:uid="{00000000-0005-0000-0000-00006E080000}"/>
    <cellStyle name="Millares 6 2 2 2 2 2 9" xfId="9173" xr:uid="{00000000-0005-0000-0000-00006F080000}"/>
    <cellStyle name="Millares 6 2 2 2 2 3" xfId="656" xr:uid="{00000000-0005-0000-0000-000070080000}"/>
    <cellStyle name="Millares 6 2 2 2 2 3 2" xfId="1135" xr:uid="{00000000-0005-0000-0000-000071080000}"/>
    <cellStyle name="Millares 6 2 2 2 2 3 2 2" xfId="2626" xr:uid="{00000000-0005-0000-0000-000072080000}"/>
    <cellStyle name="Millares 6 2 2 2 2 3 2 3" xfId="4069" xr:uid="{00000000-0005-0000-0000-000073080000}"/>
    <cellStyle name="Millares 6 2 2 2 2 3 2 4" xfId="5506" xr:uid="{00000000-0005-0000-0000-000074080000}"/>
    <cellStyle name="Millares 6 2 2 2 2 3 2 5" xfId="6952" xr:uid="{00000000-0005-0000-0000-000075080000}"/>
    <cellStyle name="Millares 6 2 2 2 2 3 2 6" xfId="8392" xr:uid="{00000000-0005-0000-0000-000076080000}"/>
    <cellStyle name="Millares 6 2 2 2 2 3 2 7" xfId="9826" xr:uid="{00000000-0005-0000-0000-000077080000}"/>
    <cellStyle name="Millares 6 2 2 2 2 3 3" xfId="1685" xr:uid="{00000000-0005-0000-0000-000078080000}"/>
    <cellStyle name="Millares 6 2 2 2 2 3 3 2" xfId="3156" xr:uid="{00000000-0005-0000-0000-000079080000}"/>
    <cellStyle name="Millares 6 2 2 2 2 3 3 3" xfId="4593" xr:uid="{00000000-0005-0000-0000-00007A080000}"/>
    <cellStyle name="Millares 6 2 2 2 2 3 3 4" xfId="6030" xr:uid="{00000000-0005-0000-0000-00007B080000}"/>
    <cellStyle name="Millares 6 2 2 2 2 3 3 5" xfId="7476" xr:uid="{00000000-0005-0000-0000-00007C080000}"/>
    <cellStyle name="Millares 6 2 2 2 2 3 3 6" xfId="8917" xr:uid="{00000000-0005-0000-0000-00007D080000}"/>
    <cellStyle name="Millares 6 2 2 2 2 3 3 7" xfId="10350" xr:uid="{00000000-0005-0000-0000-00007E080000}"/>
    <cellStyle name="Millares 6 2 2 2 2 3 4" xfId="2155" xr:uid="{00000000-0005-0000-0000-00007F080000}"/>
    <cellStyle name="Millares 6 2 2 2 2 3 5" xfId="3612" xr:uid="{00000000-0005-0000-0000-000080080000}"/>
    <cellStyle name="Millares 6 2 2 2 2 3 6" xfId="5049" xr:uid="{00000000-0005-0000-0000-000081080000}"/>
    <cellStyle name="Millares 6 2 2 2 2 3 7" xfId="6495" xr:uid="{00000000-0005-0000-0000-000082080000}"/>
    <cellStyle name="Millares 6 2 2 2 2 3 8" xfId="7934" xr:uid="{00000000-0005-0000-0000-000083080000}"/>
    <cellStyle name="Millares 6 2 2 2 2 3 9" xfId="9369" xr:uid="{00000000-0005-0000-0000-000084080000}"/>
    <cellStyle name="Millares 6 2 2 2 2 4" xfId="798" xr:uid="{00000000-0005-0000-0000-000085080000}"/>
    <cellStyle name="Millares 6 2 2 2 2 4 2" xfId="2289" xr:uid="{00000000-0005-0000-0000-000086080000}"/>
    <cellStyle name="Millares 6 2 2 2 2 4 3" xfId="3742" xr:uid="{00000000-0005-0000-0000-000087080000}"/>
    <cellStyle name="Millares 6 2 2 2 2 4 4" xfId="5179" xr:uid="{00000000-0005-0000-0000-000088080000}"/>
    <cellStyle name="Millares 6 2 2 2 2 4 5" xfId="6625" xr:uid="{00000000-0005-0000-0000-000089080000}"/>
    <cellStyle name="Millares 6 2 2 2 2 4 6" xfId="8065" xr:uid="{00000000-0005-0000-0000-00008A080000}"/>
    <cellStyle name="Millares 6 2 2 2 2 4 7" xfId="9499" xr:uid="{00000000-0005-0000-0000-00008B080000}"/>
    <cellStyle name="Millares 6 2 2 2 2 5" xfId="1354" xr:uid="{00000000-0005-0000-0000-00008C080000}"/>
    <cellStyle name="Millares 6 2 2 2 2 5 2" xfId="2829" xr:uid="{00000000-0005-0000-0000-00008D080000}"/>
    <cellStyle name="Millares 6 2 2 2 2 5 3" xfId="4266" xr:uid="{00000000-0005-0000-0000-00008E080000}"/>
    <cellStyle name="Millares 6 2 2 2 2 5 4" xfId="5703" xr:uid="{00000000-0005-0000-0000-00008F080000}"/>
    <cellStyle name="Millares 6 2 2 2 2 5 5" xfId="7149" xr:uid="{00000000-0005-0000-0000-000090080000}"/>
    <cellStyle name="Millares 6 2 2 2 2 5 6" xfId="8590" xr:uid="{00000000-0005-0000-0000-000091080000}"/>
    <cellStyle name="Millares 6 2 2 2 2 5 7" xfId="10023" xr:uid="{00000000-0005-0000-0000-000092080000}"/>
    <cellStyle name="Millares 6 2 2 2 2 6" xfId="1828" xr:uid="{00000000-0005-0000-0000-000093080000}"/>
    <cellStyle name="Millares 6 2 2 2 2 7" xfId="3285" xr:uid="{00000000-0005-0000-0000-000094080000}"/>
    <cellStyle name="Millares 6 2 2 2 2 8" xfId="4722" xr:uid="{00000000-0005-0000-0000-000095080000}"/>
    <cellStyle name="Millares 6 2 2 2 2 9" xfId="6168" xr:uid="{00000000-0005-0000-0000-000096080000}"/>
    <cellStyle name="Millares 6 2 2 2 3" xfId="383" xr:uid="{00000000-0005-0000-0000-000097080000}"/>
    <cellStyle name="Millares 6 2 2 2 3 2" xfId="865" xr:uid="{00000000-0005-0000-0000-000098080000}"/>
    <cellStyle name="Millares 6 2 2 2 3 2 2" xfId="2356" xr:uid="{00000000-0005-0000-0000-000099080000}"/>
    <cellStyle name="Millares 6 2 2 2 3 2 3" xfId="3807" xr:uid="{00000000-0005-0000-0000-00009A080000}"/>
    <cellStyle name="Millares 6 2 2 2 3 2 4" xfId="5244" xr:uid="{00000000-0005-0000-0000-00009B080000}"/>
    <cellStyle name="Millares 6 2 2 2 3 2 5" xfId="6690" xr:uid="{00000000-0005-0000-0000-00009C080000}"/>
    <cellStyle name="Millares 6 2 2 2 3 2 6" xfId="8130" xr:uid="{00000000-0005-0000-0000-00009D080000}"/>
    <cellStyle name="Millares 6 2 2 2 3 2 7" xfId="9564" xr:uid="{00000000-0005-0000-0000-00009E080000}"/>
    <cellStyle name="Millares 6 2 2 2 3 3" xfId="1419" xr:uid="{00000000-0005-0000-0000-00009F080000}"/>
    <cellStyle name="Millares 6 2 2 2 3 3 2" xfId="2894" xr:uid="{00000000-0005-0000-0000-0000A0080000}"/>
    <cellStyle name="Millares 6 2 2 2 3 3 3" xfId="4331" xr:uid="{00000000-0005-0000-0000-0000A1080000}"/>
    <cellStyle name="Millares 6 2 2 2 3 3 4" xfId="5768" xr:uid="{00000000-0005-0000-0000-0000A2080000}"/>
    <cellStyle name="Millares 6 2 2 2 3 3 5" xfId="7214" xr:uid="{00000000-0005-0000-0000-0000A3080000}"/>
    <cellStyle name="Millares 6 2 2 2 3 3 6" xfId="8655" xr:uid="{00000000-0005-0000-0000-0000A4080000}"/>
    <cellStyle name="Millares 6 2 2 2 3 3 7" xfId="10088" xr:uid="{00000000-0005-0000-0000-0000A5080000}"/>
    <cellStyle name="Millares 6 2 2 2 3 4" xfId="1893" xr:uid="{00000000-0005-0000-0000-0000A6080000}"/>
    <cellStyle name="Millares 6 2 2 2 3 5" xfId="3350" xr:uid="{00000000-0005-0000-0000-0000A7080000}"/>
    <cellStyle name="Millares 6 2 2 2 3 6" xfId="4787" xr:uid="{00000000-0005-0000-0000-0000A8080000}"/>
    <cellStyle name="Millares 6 2 2 2 3 7" xfId="6233" xr:uid="{00000000-0005-0000-0000-0000A9080000}"/>
    <cellStyle name="Millares 6 2 2 2 3 8" xfId="7671" xr:uid="{00000000-0005-0000-0000-0000AA080000}"/>
    <cellStyle name="Millares 6 2 2 2 3 9" xfId="9108" xr:uid="{00000000-0005-0000-0000-0000AB080000}"/>
    <cellStyle name="Millares 6 2 2 2 4" xfId="522" xr:uid="{00000000-0005-0000-0000-0000AC080000}"/>
    <cellStyle name="Millares 6 2 2 2 4 2" xfId="1001" xr:uid="{00000000-0005-0000-0000-0000AD080000}"/>
    <cellStyle name="Millares 6 2 2 2 4 2 2" xfId="2492" xr:uid="{00000000-0005-0000-0000-0000AE080000}"/>
    <cellStyle name="Millares 6 2 2 2 4 2 3" xfId="3939" xr:uid="{00000000-0005-0000-0000-0000AF080000}"/>
    <cellStyle name="Millares 6 2 2 2 4 2 4" xfId="5376" xr:uid="{00000000-0005-0000-0000-0000B0080000}"/>
    <cellStyle name="Millares 6 2 2 2 4 2 5" xfId="6822" xr:uid="{00000000-0005-0000-0000-0000B1080000}"/>
    <cellStyle name="Millares 6 2 2 2 4 2 6" xfId="8262" xr:uid="{00000000-0005-0000-0000-0000B2080000}"/>
    <cellStyle name="Millares 6 2 2 2 4 2 7" xfId="9696" xr:uid="{00000000-0005-0000-0000-0000B3080000}"/>
    <cellStyle name="Millares 6 2 2 2 4 3" xfId="1553" xr:uid="{00000000-0005-0000-0000-0000B4080000}"/>
    <cellStyle name="Millares 6 2 2 2 4 3 2" xfId="3026" xr:uid="{00000000-0005-0000-0000-0000B5080000}"/>
    <cellStyle name="Millares 6 2 2 2 4 3 3" xfId="4463" xr:uid="{00000000-0005-0000-0000-0000B6080000}"/>
    <cellStyle name="Millares 6 2 2 2 4 3 4" xfId="5900" xr:uid="{00000000-0005-0000-0000-0000B7080000}"/>
    <cellStyle name="Millares 6 2 2 2 4 3 5" xfId="7346" xr:uid="{00000000-0005-0000-0000-0000B8080000}"/>
    <cellStyle name="Millares 6 2 2 2 4 3 6" xfId="8787" xr:uid="{00000000-0005-0000-0000-0000B9080000}"/>
    <cellStyle name="Millares 6 2 2 2 4 3 7" xfId="10220" xr:uid="{00000000-0005-0000-0000-0000BA080000}"/>
    <cellStyle name="Millares 6 2 2 2 4 4" xfId="2025" xr:uid="{00000000-0005-0000-0000-0000BB080000}"/>
    <cellStyle name="Millares 6 2 2 2 4 5" xfId="3482" xr:uid="{00000000-0005-0000-0000-0000BC080000}"/>
    <cellStyle name="Millares 6 2 2 2 4 6" xfId="4919" xr:uid="{00000000-0005-0000-0000-0000BD080000}"/>
    <cellStyle name="Millares 6 2 2 2 4 7" xfId="6365" xr:uid="{00000000-0005-0000-0000-0000BE080000}"/>
    <cellStyle name="Millares 6 2 2 2 4 8" xfId="7803" xr:uid="{00000000-0005-0000-0000-0000BF080000}"/>
    <cellStyle name="Millares 6 2 2 2 4 9" xfId="9240" xr:uid="{00000000-0005-0000-0000-0000C0080000}"/>
    <cellStyle name="Millares 6 2 2 2 5" xfId="587" xr:uid="{00000000-0005-0000-0000-0000C1080000}"/>
    <cellStyle name="Millares 6 2 2 2 5 2" xfId="1066" xr:uid="{00000000-0005-0000-0000-0000C2080000}"/>
    <cellStyle name="Millares 6 2 2 2 5 2 2" xfId="2557" xr:uid="{00000000-0005-0000-0000-0000C3080000}"/>
    <cellStyle name="Millares 6 2 2 2 5 2 3" xfId="4004" xr:uid="{00000000-0005-0000-0000-0000C4080000}"/>
    <cellStyle name="Millares 6 2 2 2 5 2 4" xfId="5441" xr:uid="{00000000-0005-0000-0000-0000C5080000}"/>
    <cellStyle name="Millares 6 2 2 2 5 2 5" xfId="6887" xr:uid="{00000000-0005-0000-0000-0000C6080000}"/>
    <cellStyle name="Millares 6 2 2 2 5 2 6" xfId="8327" xr:uid="{00000000-0005-0000-0000-0000C7080000}"/>
    <cellStyle name="Millares 6 2 2 2 5 2 7" xfId="9761" xr:uid="{00000000-0005-0000-0000-0000C8080000}"/>
    <cellStyle name="Millares 6 2 2 2 5 3" xfId="1618" xr:uid="{00000000-0005-0000-0000-0000C9080000}"/>
    <cellStyle name="Millares 6 2 2 2 5 3 2" xfId="3091" xr:uid="{00000000-0005-0000-0000-0000CA080000}"/>
    <cellStyle name="Millares 6 2 2 2 5 3 3" xfId="4528" xr:uid="{00000000-0005-0000-0000-0000CB080000}"/>
    <cellStyle name="Millares 6 2 2 2 5 3 4" xfId="5965" xr:uid="{00000000-0005-0000-0000-0000CC080000}"/>
    <cellStyle name="Millares 6 2 2 2 5 3 5" xfId="7411" xr:uid="{00000000-0005-0000-0000-0000CD080000}"/>
    <cellStyle name="Millares 6 2 2 2 5 3 6" xfId="8852" xr:uid="{00000000-0005-0000-0000-0000CE080000}"/>
    <cellStyle name="Millares 6 2 2 2 5 3 7" xfId="10285" xr:uid="{00000000-0005-0000-0000-0000CF080000}"/>
    <cellStyle name="Millares 6 2 2 2 5 4" xfId="2090" xr:uid="{00000000-0005-0000-0000-0000D0080000}"/>
    <cellStyle name="Millares 6 2 2 2 5 5" xfId="3547" xr:uid="{00000000-0005-0000-0000-0000D1080000}"/>
    <cellStyle name="Millares 6 2 2 2 5 6" xfId="4984" xr:uid="{00000000-0005-0000-0000-0000D2080000}"/>
    <cellStyle name="Millares 6 2 2 2 5 7" xfId="6430" xr:uid="{00000000-0005-0000-0000-0000D3080000}"/>
    <cellStyle name="Millares 6 2 2 2 5 8" xfId="7868" xr:uid="{00000000-0005-0000-0000-0000D4080000}"/>
    <cellStyle name="Millares 6 2 2 2 5 9" xfId="9304" xr:uid="{00000000-0005-0000-0000-0000D5080000}"/>
    <cellStyle name="Millares 6 2 2 2 6" xfId="729" xr:uid="{00000000-0005-0000-0000-0000D6080000}"/>
    <cellStyle name="Millares 6 2 2 2 6 2" xfId="2220" xr:uid="{00000000-0005-0000-0000-0000D7080000}"/>
    <cellStyle name="Millares 6 2 2 2 6 3" xfId="3677" xr:uid="{00000000-0005-0000-0000-0000D8080000}"/>
    <cellStyle name="Millares 6 2 2 2 6 4" xfId="5114" xr:uid="{00000000-0005-0000-0000-0000D9080000}"/>
    <cellStyle name="Millares 6 2 2 2 6 5" xfId="6560" xr:uid="{00000000-0005-0000-0000-0000DA080000}"/>
    <cellStyle name="Millares 6 2 2 2 6 6" xfId="7999" xr:uid="{00000000-0005-0000-0000-0000DB080000}"/>
    <cellStyle name="Millares 6 2 2 2 6 7" xfId="9434" xr:uid="{00000000-0005-0000-0000-0000DC080000}"/>
    <cellStyle name="Millares 6 2 2 2 7" xfId="1220" xr:uid="{00000000-0005-0000-0000-0000DD080000}"/>
    <cellStyle name="Millares 6 2 2 2 7 2" xfId="2699" xr:uid="{00000000-0005-0000-0000-0000DE080000}"/>
    <cellStyle name="Millares 6 2 2 2 7 3" xfId="4136" xr:uid="{00000000-0005-0000-0000-0000DF080000}"/>
    <cellStyle name="Millares 6 2 2 2 7 4" xfId="5573" xr:uid="{00000000-0005-0000-0000-0000E0080000}"/>
    <cellStyle name="Millares 6 2 2 2 7 5" xfId="7019" xr:uid="{00000000-0005-0000-0000-0000E1080000}"/>
    <cellStyle name="Millares 6 2 2 2 7 6" xfId="8460" xr:uid="{00000000-0005-0000-0000-0000E2080000}"/>
    <cellStyle name="Millares 6 2 2 2 7 7" xfId="9893" xr:uid="{00000000-0005-0000-0000-0000E3080000}"/>
    <cellStyle name="Millares 6 2 2 2 8" xfId="1285" xr:uid="{00000000-0005-0000-0000-0000E4080000}"/>
    <cellStyle name="Millares 6 2 2 2 8 2" xfId="2764" xr:uid="{00000000-0005-0000-0000-0000E5080000}"/>
    <cellStyle name="Millares 6 2 2 2 8 3" xfId="4201" xr:uid="{00000000-0005-0000-0000-0000E6080000}"/>
    <cellStyle name="Millares 6 2 2 2 8 4" xfId="5638" xr:uid="{00000000-0005-0000-0000-0000E7080000}"/>
    <cellStyle name="Millares 6 2 2 2 8 5" xfId="7084" xr:uid="{00000000-0005-0000-0000-0000E8080000}"/>
    <cellStyle name="Millares 6 2 2 2 8 6" xfId="8525" xr:uid="{00000000-0005-0000-0000-0000E9080000}"/>
    <cellStyle name="Millares 6 2 2 2 8 7" xfId="9958" xr:uid="{00000000-0005-0000-0000-0000EA080000}"/>
    <cellStyle name="Millares 6 2 2 2 9" xfId="1763" xr:uid="{00000000-0005-0000-0000-0000EB080000}"/>
    <cellStyle name="Millares 6 2 2 3" xfId="283" xr:uid="{00000000-0005-0000-0000-0000EC080000}"/>
    <cellStyle name="Millares 6 2 2 3 10" xfId="7575" xr:uid="{00000000-0005-0000-0000-0000ED080000}"/>
    <cellStyle name="Millares 6 2 2 3 11" xfId="9014" xr:uid="{00000000-0005-0000-0000-0000EE080000}"/>
    <cellStyle name="Millares 6 2 2 3 2" xfId="421" xr:uid="{00000000-0005-0000-0000-0000EF080000}"/>
    <cellStyle name="Millares 6 2 2 3 2 2" xfId="903" xr:uid="{00000000-0005-0000-0000-0000F0080000}"/>
    <cellStyle name="Millares 6 2 2 3 2 2 2" xfId="2394" xr:uid="{00000000-0005-0000-0000-0000F1080000}"/>
    <cellStyle name="Millares 6 2 2 3 2 2 3" xfId="3841" xr:uid="{00000000-0005-0000-0000-0000F2080000}"/>
    <cellStyle name="Millares 6 2 2 3 2 2 4" xfId="5278" xr:uid="{00000000-0005-0000-0000-0000F3080000}"/>
    <cellStyle name="Millares 6 2 2 3 2 2 5" xfId="6724" xr:uid="{00000000-0005-0000-0000-0000F4080000}"/>
    <cellStyle name="Millares 6 2 2 3 2 2 6" xfId="8164" xr:uid="{00000000-0005-0000-0000-0000F5080000}"/>
    <cellStyle name="Millares 6 2 2 3 2 2 7" xfId="9598" xr:uid="{00000000-0005-0000-0000-0000F6080000}"/>
    <cellStyle name="Millares 6 2 2 3 2 3" xfId="1455" xr:uid="{00000000-0005-0000-0000-0000F7080000}"/>
    <cellStyle name="Millares 6 2 2 3 2 3 2" xfId="2928" xr:uid="{00000000-0005-0000-0000-0000F8080000}"/>
    <cellStyle name="Millares 6 2 2 3 2 3 3" xfId="4365" xr:uid="{00000000-0005-0000-0000-0000F9080000}"/>
    <cellStyle name="Millares 6 2 2 3 2 3 4" xfId="5802" xr:uid="{00000000-0005-0000-0000-0000FA080000}"/>
    <cellStyle name="Millares 6 2 2 3 2 3 5" xfId="7248" xr:uid="{00000000-0005-0000-0000-0000FB080000}"/>
    <cellStyle name="Millares 6 2 2 3 2 3 6" xfId="8689" xr:uid="{00000000-0005-0000-0000-0000FC080000}"/>
    <cellStyle name="Millares 6 2 2 3 2 3 7" xfId="10122" xr:uid="{00000000-0005-0000-0000-0000FD080000}"/>
    <cellStyle name="Millares 6 2 2 3 2 4" xfId="1927" xr:uid="{00000000-0005-0000-0000-0000FE080000}"/>
    <cellStyle name="Millares 6 2 2 3 2 5" xfId="3384" xr:uid="{00000000-0005-0000-0000-0000FF080000}"/>
    <cellStyle name="Millares 6 2 2 3 2 6" xfId="4821" xr:uid="{00000000-0005-0000-0000-000000090000}"/>
    <cellStyle name="Millares 6 2 2 3 2 7" xfId="6267" xr:uid="{00000000-0005-0000-0000-000001090000}"/>
    <cellStyle name="Millares 6 2 2 3 2 8" xfId="7705" xr:uid="{00000000-0005-0000-0000-000002090000}"/>
    <cellStyle name="Millares 6 2 2 3 2 9" xfId="9142" xr:uid="{00000000-0005-0000-0000-000003090000}"/>
    <cellStyle name="Millares 6 2 2 3 3" xfId="625" xr:uid="{00000000-0005-0000-0000-000004090000}"/>
    <cellStyle name="Millares 6 2 2 3 3 2" xfId="1104" xr:uid="{00000000-0005-0000-0000-000005090000}"/>
    <cellStyle name="Millares 6 2 2 3 3 2 2" xfId="2595" xr:uid="{00000000-0005-0000-0000-000006090000}"/>
    <cellStyle name="Millares 6 2 2 3 3 2 3" xfId="4038" xr:uid="{00000000-0005-0000-0000-000007090000}"/>
    <cellStyle name="Millares 6 2 2 3 3 2 4" xfId="5475" xr:uid="{00000000-0005-0000-0000-000008090000}"/>
    <cellStyle name="Millares 6 2 2 3 3 2 5" xfId="6921" xr:uid="{00000000-0005-0000-0000-000009090000}"/>
    <cellStyle name="Millares 6 2 2 3 3 2 6" xfId="8361" xr:uid="{00000000-0005-0000-0000-00000A090000}"/>
    <cellStyle name="Millares 6 2 2 3 3 2 7" xfId="9795" xr:uid="{00000000-0005-0000-0000-00000B090000}"/>
    <cellStyle name="Millares 6 2 2 3 3 3" xfId="1654" xr:uid="{00000000-0005-0000-0000-00000C090000}"/>
    <cellStyle name="Millares 6 2 2 3 3 3 2" xfId="3125" xr:uid="{00000000-0005-0000-0000-00000D090000}"/>
    <cellStyle name="Millares 6 2 2 3 3 3 3" xfId="4562" xr:uid="{00000000-0005-0000-0000-00000E090000}"/>
    <cellStyle name="Millares 6 2 2 3 3 3 4" xfId="5999" xr:uid="{00000000-0005-0000-0000-00000F090000}"/>
    <cellStyle name="Millares 6 2 2 3 3 3 5" xfId="7445" xr:uid="{00000000-0005-0000-0000-000010090000}"/>
    <cellStyle name="Millares 6 2 2 3 3 3 6" xfId="8886" xr:uid="{00000000-0005-0000-0000-000011090000}"/>
    <cellStyle name="Millares 6 2 2 3 3 3 7" xfId="10319" xr:uid="{00000000-0005-0000-0000-000012090000}"/>
    <cellStyle name="Millares 6 2 2 3 3 4" xfId="2124" xr:uid="{00000000-0005-0000-0000-000013090000}"/>
    <cellStyle name="Millares 6 2 2 3 3 5" xfId="3581" xr:uid="{00000000-0005-0000-0000-000014090000}"/>
    <cellStyle name="Millares 6 2 2 3 3 6" xfId="5018" xr:uid="{00000000-0005-0000-0000-000015090000}"/>
    <cellStyle name="Millares 6 2 2 3 3 7" xfId="6464" xr:uid="{00000000-0005-0000-0000-000016090000}"/>
    <cellStyle name="Millares 6 2 2 3 3 8" xfId="7903" xr:uid="{00000000-0005-0000-0000-000017090000}"/>
    <cellStyle name="Millares 6 2 2 3 3 9" xfId="9338" xr:uid="{00000000-0005-0000-0000-000018090000}"/>
    <cellStyle name="Millares 6 2 2 3 4" xfId="767" xr:uid="{00000000-0005-0000-0000-000019090000}"/>
    <cellStyle name="Millares 6 2 2 3 4 2" xfId="2258" xr:uid="{00000000-0005-0000-0000-00001A090000}"/>
    <cellStyle name="Millares 6 2 2 3 4 3" xfId="3711" xr:uid="{00000000-0005-0000-0000-00001B090000}"/>
    <cellStyle name="Millares 6 2 2 3 4 4" xfId="5148" xr:uid="{00000000-0005-0000-0000-00001C090000}"/>
    <cellStyle name="Millares 6 2 2 3 4 5" xfId="6594" xr:uid="{00000000-0005-0000-0000-00001D090000}"/>
    <cellStyle name="Millares 6 2 2 3 4 6" xfId="8034" xr:uid="{00000000-0005-0000-0000-00001E090000}"/>
    <cellStyle name="Millares 6 2 2 3 4 7" xfId="9468" xr:uid="{00000000-0005-0000-0000-00001F090000}"/>
    <cellStyle name="Millares 6 2 2 3 5" xfId="1323" xr:uid="{00000000-0005-0000-0000-000020090000}"/>
    <cellStyle name="Millares 6 2 2 3 5 2" xfId="2798" xr:uid="{00000000-0005-0000-0000-000021090000}"/>
    <cellStyle name="Millares 6 2 2 3 5 3" xfId="4235" xr:uid="{00000000-0005-0000-0000-000022090000}"/>
    <cellStyle name="Millares 6 2 2 3 5 4" xfId="5672" xr:uid="{00000000-0005-0000-0000-000023090000}"/>
    <cellStyle name="Millares 6 2 2 3 5 5" xfId="7118" xr:uid="{00000000-0005-0000-0000-000024090000}"/>
    <cellStyle name="Millares 6 2 2 3 5 6" xfId="8559" xr:uid="{00000000-0005-0000-0000-000025090000}"/>
    <cellStyle name="Millares 6 2 2 3 5 7" xfId="9992" xr:uid="{00000000-0005-0000-0000-000026090000}"/>
    <cellStyle name="Millares 6 2 2 3 6" xfId="1797" xr:uid="{00000000-0005-0000-0000-000027090000}"/>
    <cellStyle name="Millares 6 2 2 3 7" xfId="3254" xr:uid="{00000000-0005-0000-0000-000028090000}"/>
    <cellStyle name="Millares 6 2 2 3 8" xfId="4691" xr:uid="{00000000-0005-0000-0000-000029090000}"/>
    <cellStyle name="Millares 6 2 2 3 9" xfId="6137" xr:uid="{00000000-0005-0000-0000-00002A090000}"/>
    <cellStyle name="Millares 6 2 2 4" xfId="352" xr:uid="{00000000-0005-0000-0000-00002B090000}"/>
    <cellStyle name="Millares 6 2 2 4 2" xfId="834" xr:uid="{00000000-0005-0000-0000-00002C090000}"/>
    <cellStyle name="Millares 6 2 2 4 2 2" xfId="2325" xr:uid="{00000000-0005-0000-0000-00002D090000}"/>
    <cellStyle name="Millares 6 2 2 4 2 3" xfId="3776" xr:uid="{00000000-0005-0000-0000-00002E090000}"/>
    <cellStyle name="Millares 6 2 2 4 2 4" xfId="5213" xr:uid="{00000000-0005-0000-0000-00002F090000}"/>
    <cellStyle name="Millares 6 2 2 4 2 5" xfId="6659" xr:uid="{00000000-0005-0000-0000-000030090000}"/>
    <cellStyle name="Millares 6 2 2 4 2 6" xfId="8099" xr:uid="{00000000-0005-0000-0000-000031090000}"/>
    <cellStyle name="Millares 6 2 2 4 2 7" xfId="9533" xr:uid="{00000000-0005-0000-0000-000032090000}"/>
    <cellStyle name="Millares 6 2 2 4 3" xfId="1388" xr:uid="{00000000-0005-0000-0000-000033090000}"/>
    <cellStyle name="Millares 6 2 2 4 3 2" xfId="2863" xr:uid="{00000000-0005-0000-0000-000034090000}"/>
    <cellStyle name="Millares 6 2 2 4 3 3" xfId="4300" xr:uid="{00000000-0005-0000-0000-000035090000}"/>
    <cellStyle name="Millares 6 2 2 4 3 4" xfId="5737" xr:uid="{00000000-0005-0000-0000-000036090000}"/>
    <cellStyle name="Millares 6 2 2 4 3 5" xfId="7183" xr:uid="{00000000-0005-0000-0000-000037090000}"/>
    <cellStyle name="Millares 6 2 2 4 3 6" xfId="8624" xr:uid="{00000000-0005-0000-0000-000038090000}"/>
    <cellStyle name="Millares 6 2 2 4 3 7" xfId="10057" xr:uid="{00000000-0005-0000-0000-000039090000}"/>
    <cellStyle name="Millares 6 2 2 4 4" xfId="1862" xr:uid="{00000000-0005-0000-0000-00003A090000}"/>
    <cellStyle name="Millares 6 2 2 4 5" xfId="3319" xr:uid="{00000000-0005-0000-0000-00003B090000}"/>
    <cellStyle name="Millares 6 2 2 4 6" xfId="4756" xr:uid="{00000000-0005-0000-0000-00003C090000}"/>
    <cellStyle name="Millares 6 2 2 4 7" xfId="6202" xr:uid="{00000000-0005-0000-0000-00003D090000}"/>
    <cellStyle name="Millares 6 2 2 4 8" xfId="7640" xr:uid="{00000000-0005-0000-0000-00003E090000}"/>
    <cellStyle name="Millares 6 2 2 4 9" xfId="9077" xr:uid="{00000000-0005-0000-0000-00003F090000}"/>
    <cellStyle name="Millares 6 2 2 5" xfId="491" xr:uid="{00000000-0005-0000-0000-000040090000}"/>
    <cellStyle name="Millares 6 2 2 5 2" xfId="970" xr:uid="{00000000-0005-0000-0000-000041090000}"/>
    <cellStyle name="Millares 6 2 2 5 2 2" xfId="2461" xr:uid="{00000000-0005-0000-0000-000042090000}"/>
    <cellStyle name="Millares 6 2 2 5 2 3" xfId="3908" xr:uid="{00000000-0005-0000-0000-000043090000}"/>
    <cellStyle name="Millares 6 2 2 5 2 4" xfId="5345" xr:uid="{00000000-0005-0000-0000-000044090000}"/>
    <cellStyle name="Millares 6 2 2 5 2 5" xfId="6791" xr:uid="{00000000-0005-0000-0000-000045090000}"/>
    <cellStyle name="Millares 6 2 2 5 2 6" xfId="8231" xr:uid="{00000000-0005-0000-0000-000046090000}"/>
    <cellStyle name="Millares 6 2 2 5 2 7" xfId="9665" xr:uid="{00000000-0005-0000-0000-000047090000}"/>
    <cellStyle name="Millares 6 2 2 5 3" xfId="1522" xr:uid="{00000000-0005-0000-0000-000048090000}"/>
    <cellStyle name="Millares 6 2 2 5 3 2" xfId="2995" xr:uid="{00000000-0005-0000-0000-000049090000}"/>
    <cellStyle name="Millares 6 2 2 5 3 3" xfId="4432" xr:uid="{00000000-0005-0000-0000-00004A090000}"/>
    <cellStyle name="Millares 6 2 2 5 3 4" xfId="5869" xr:uid="{00000000-0005-0000-0000-00004B090000}"/>
    <cellStyle name="Millares 6 2 2 5 3 5" xfId="7315" xr:uid="{00000000-0005-0000-0000-00004C090000}"/>
    <cellStyle name="Millares 6 2 2 5 3 6" xfId="8756" xr:uid="{00000000-0005-0000-0000-00004D090000}"/>
    <cellStyle name="Millares 6 2 2 5 3 7" xfId="10189" xr:uid="{00000000-0005-0000-0000-00004E090000}"/>
    <cellStyle name="Millares 6 2 2 5 4" xfId="1994" xr:uid="{00000000-0005-0000-0000-00004F090000}"/>
    <cellStyle name="Millares 6 2 2 5 5" xfId="3451" xr:uid="{00000000-0005-0000-0000-000050090000}"/>
    <cellStyle name="Millares 6 2 2 5 6" xfId="4888" xr:uid="{00000000-0005-0000-0000-000051090000}"/>
    <cellStyle name="Millares 6 2 2 5 7" xfId="6334" xr:uid="{00000000-0005-0000-0000-000052090000}"/>
    <cellStyle name="Millares 6 2 2 5 8" xfId="7772" xr:uid="{00000000-0005-0000-0000-000053090000}"/>
    <cellStyle name="Millares 6 2 2 5 9" xfId="9209" xr:uid="{00000000-0005-0000-0000-000054090000}"/>
    <cellStyle name="Millares 6 2 2 6" xfId="556" xr:uid="{00000000-0005-0000-0000-000055090000}"/>
    <cellStyle name="Millares 6 2 2 6 2" xfId="1035" xr:uid="{00000000-0005-0000-0000-000056090000}"/>
    <cellStyle name="Millares 6 2 2 6 2 2" xfId="2526" xr:uid="{00000000-0005-0000-0000-000057090000}"/>
    <cellStyle name="Millares 6 2 2 6 2 3" xfId="3973" xr:uid="{00000000-0005-0000-0000-000058090000}"/>
    <cellStyle name="Millares 6 2 2 6 2 4" xfId="5410" xr:uid="{00000000-0005-0000-0000-000059090000}"/>
    <cellStyle name="Millares 6 2 2 6 2 5" xfId="6856" xr:uid="{00000000-0005-0000-0000-00005A090000}"/>
    <cellStyle name="Millares 6 2 2 6 2 6" xfId="8296" xr:uid="{00000000-0005-0000-0000-00005B090000}"/>
    <cellStyle name="Millares 6 2 2 6 2 7" xfId="9730" xr:uid="{00000000-0005-0000-0000-00005C090000}"/>
    <cellStyle name="Millares 6 2 2 6 3" xfId="1587" xr:uid="{00000000-0005-0000-0000-00005D090000}"/>
    <cellStyle name="Millares 6 2 2 6 3 2" xfId="3060" xr:uid="{00000000-0005-0000-0000-00005E090000}"/>
    <cellStyle name="Millares 6 2 2 6 3 3" xfId="4497" xr:uid="{00000000-0005-0000-0000-00005F090000}"/>
    <cellStyle name="Millares 6 2 2 6 3 4" xfId="5934" xr:uid="{00000000-0005-0000-0000-000060090000}"/>
    <cellStyle name="Millares 6 2 2 6 3 5" xfId="7380" xr:uid="{00000000-0005-0000-0000-000061090000}"/>
    <cellStyle name="Millares 6 2 2 6 3 6" xfId="8821" xr:uid="{00000000-0005-0000-0000-000062090000}"/>
    <cellStyle name="Millares 6 2 2 6 3 7" xfId="10254" xr:uid="{00000000-0005-0000-0000-000063090000}"/>
    <cellStyle name="Millares 6 2 2 6 4" xfId="2059" xr:uid="{00000000-0005-0000-0000-000064090000}"/>
    <cellStyle name="Millares 6 2 2 6 5" xfId="3516" xr:uid="{00000000-0005-0000-0000-000065090000}"/>
    <cellStyle name="Millares 6 2 2 6 6" xfId="4953" xr:uid="{00000000-0005-0000-0000-000066090000}"/>
    <cellStyle name="Millares 6 2 2 6 7" xfId="6399" xr:uid="{00000000-0005-0000-0000-000067090000}"/>
    <cellStyle name="Millares 6 2 2 6 8" xfId="7837" xr:uid="{00000000-0005-0000-0000-000068090000}"/>
    <cellStyle name="Millares 6 2 2 6 9" xfId="9273" xr:uid="{00000000-0005-0000-0000-000069090000}"/>
    <cellStyle name="Millares 6 2 2 7" xfId="698" xr:uid="{00000000-0005-0000-0000-00006A090000}"/>
    <cellStyle name="Millares 6 2 2 7 2" xfId="2189" xr:uid="{00000000-0005-0000-0000-00006B090000}"/>
    <cellStyle name="Millares 6 2 2 7 3" xfId="3646" xr:uid="{00000000-0005-0000-0000-00006C090000}"/>
    <cellStyle name="Millares 6 2 2 7 4" xfId="5083" xr:uid="{00000000-0005-0000-0000-00006D090000}"/>
    <cellStyle name="Millares 6 2 2 7 5" xfId="6529" xr:uid="{00000000-0005-0000-0000-00006E090000}"/>
    <cellStyle name="Millares 6 2 2 7 6" xfId="7968" xr:uid="{00000000-0005-0000-0000-00006F090000}"/>
    <cellStyle name="Millares 6 2 2 7 7" xfId="9403" xr:uid="{00000000-0005-0000-0000-000070090000}"/>
    <cellStyle name="Millares 6 2 2 8" xfId="1189" xr:uid="{00000000-0005-0000-0000-000071090000}"/>
    <cellStyle name="Millares 6 2 2 8 2" xfId="2668" xr:uid="{00000000-0005-0000-0000-000072090000}"/>
    <cellStyle name="Millares 6 2 2 8 3" xfId="4105" xr:uid="{00000000-0005-0000-0000-000073090000}"/>
    <cellStyle name="Millares 6 2 2 8 4" xfId="5542" xr:uid="{00000000-0005-0000-0000-000074090000}"/>
    <cellStyle name="Millares 6 2 2 8 5" xfId="6988" xr:uid="{00000000-0005-0000-0000-000075090000}"/>
    <cellStyle name="Millares 6 2 2 8 6" xfId="8429" xr:uid="{00000000-0005-0000-0000-000076090000}"/>
    <cellStyle name="Millares 6 2 2 8 7" xfId="9862" xr:uid="{00000000-0005-0000-0000-000077090000}"/>
    <cellStyle name="Millares 6 2 2 9" xfId="1254" xr:uid="{00000000-0005-0000-0000-000078090000}"/>
    <cellStyle name="Millares 6 2 2 9 2" xfId="2733" xr:uid="{00000000-0005-0000-0000-000079090000}"/>
    <cellStyle name="Millares 6 2 2 9 3" xfId="4170" xr:uid="{00000000-0005-0000-0000-00007A090000}"/>
    <cellStyle name="Millares 6 2 2 9 4" xfId="5607" xr:uid="{00000000-0005-0000-0000-00007B090000}"/>
    <cellStyle name="Millares 6 2 2 9 5" xfId="7053" xr:uid="{00000000-0005-0000-0000-00007C090000}"/>
    <cellStyle name="Millares 6 2 2 9 6" xfId="8494" xr:uid="{00000000-0005-0000-0000-00007D090000}"/>
    <cellStyle name="Millares 6 2 2 9 7" xfId="9927" xr:uid="{00000000-0005-0000-0000-00007E090000}"/>
    <cellStyle name="Millares 6 2 3" xfId="230" xr:uid="{00000000-0005-0000-0000-00007F090000}"/>
    <cellStyle name="Millares 6 2 3 10" xfId="3205" xr:uid="{00000000-0005-0000-0000-000080090000}"/>
    <cellStyle name="Millares 6 2 3 11" xfId="4642" xr:uid="{00000000-0005-0000-0000-000081090000}"/>
    <cellStyle name="Millares 6 2 3 12" xfId="6088" xr:uid="{00000000-0005-0000-0000-000082090000}"/>
    <cellStyle name="Millares 6 2 3 13" xfId="7526" xr:uid="{00000000-0005-0000-0000-000083090000}"/>
    <cellStyle name="Millares 6 2 3 14" xfId="8966" xr:uid="{00000000-0005-0000-0000-000084090000}"/>
    <cellStyle name="Millares 6 2 3 2" xfId="299" xr:uid="{00000000-0005-0000-0000-000085090000}"/>
    <cellStyle name="Millares 6 2 3 2 10" xfId="7591" xr:uid="{00000000-0005-0000-0000-000086090000}"/>
    <cellStyle name="Millares 6 2 3 2 11" xfId="9030" xr:uid="{00000000-0005-0000-0000-000087090000}"/>
    <cellStyle name="Millares 6 2 3 2 2" xfId="437" xr:uid="{00000000-0005-0000-0000-000088090000}"/>
    <cellStyle name="Millares 6 2 3 2 2 2" xfId="919" xr:uid="{00000000-0005-0000-0000-000089090000}"/>
    <cellStyle name="Millares 6 2 3 2 2 2 2" xfId="2410" xr:uid="{00000000-0005-0000-0000-00008A090000}"/>
    <cellStyle name="Millares 6 2 3 2 2 2 3" xfId="3857" xr:uid="{00000000-0005-0000-0000-00008B090000}"/>
    <cellStyle name="Millares 6 2 3 2 2 2 4" xfId="5294" xr:uid="{00000000-0005-0000-0000-00008C090000}"/>
    <cellStyle name="Millares 6 2 3 2 2 2 5" xfId="6740" xr:uid="{00000000-0005-0000-0000-00008D090000}"/>
    <cellStyle name="Millares 6 2 3 2 2 2 6" xfId="8180" xr:uid="{00000000-0005-0000-0000-00008E090000}"/>
    <cellStyle name="Millares 6 2 3 2 2 2 7" xfId="9614" xr:uid="{00000000-0005-0000-0000-00008F090000}"/>
    <cellStyle name="Millares 6 2 3 2 2 3" xfId="1471" xr:uid="{00000000-0005-0000-0000-000090090000}"/>
    <cellStyle name="Millares 6 2 3 2 2 3 2" xfId="2944" xr:uid="{00000000-0005-0000-0000-000091090000}"/>
    <cellStyle name="Millares 6 2 3 2 2 3 3" xfId="4381" xr:uid="{00000000-0005-0000-0000-000092090000}"/>
    <cellStyle name="Millares 6 2 3 2 2 3 4" xfId="5818" xr:uid="{00000000-0005-0000-0000-000093090000}"/>
    <cellStyle name="Millares 6 2 3 2 2 3 5" xfId="7264" xr:uid="{00000000-0005-0000-0000-000094090000}"/>
    <cellStyle name="Millares 6 2 3 2 2 3 6" xfId="8705" xr:uid="{00000000-0005-0000-0000-000095090000}"/>
    <cellStyle name="Millares 6 2 3 2 2 3 7" xfId="10138" xr:uid="{00000000-0005-0000-0000-000096090000}"/>
    <cellStyle name="Millares 6 2 3 2 2 4" xfId="1943" xr:uid="{00000000-0005-0000-0000-000097090000}"/>
    <cellStyle name="Millares 6 2 3 2 2 5" xfId="3400" xr:uid="{00000000-0005-0000-0000-000098090000}"/>
    <cellStyle name="Millares 6 2 3 2 2 6" xfId="4837" xr:uid="{00000000-0005-0000-0000-000099090000}"/>
    <cellStyle name="Millares 6 2 3 2 2 7" xfId="6283" xr:uid="{00000000-0005-0000-0000-00009A090000}"/>
    <cellStyle name="Millares 6 2 3 2 2 8" xfId="7721" xr:uid="{00000000-0005-0000-0000-00009B090000}"/>
    <cellStyle name="Millares 6 2 3 2 2 9" xfId="9158" xr:uid="{00000000-0005-0000-0000-00009C090000}"/>
    <cellStyle name="Millares 6 2 3 2 3" xfId="641" xr:uid="{00000000-0005-0000-0000-00009D090000}"/>
    <cellStyle name="Millares 6 2 3 2 3 2" xfId="1120" xr:uid="{00000000-0005-0000-0000-00009E090000}"/>
    <cellStyle name="Millares 6 2 3 2 3 2 2" xfId="2611" xr:uid="{00000000-0005-0000-0000-00009F090000}"/>
    <cellStyle name="Millares 6 2 3 2 3 2 3" xfId="4054" xr:uid="{00000000-0005-0000-0000-0000A0090000}"/>
    <cellStyle name="Millares 6 2 3 2 3 2 4" xfId="5491" xr:uid="{00000000-0005-0000-0000-0000A1090000}"/>
    <cellStyle name="Millares 6 2 3 2 3 2 5" xfId="6937" xr:uid="{00000000-0005-0000-0000-0000A2090000}"/>
    <cellStyle name="Millares 6 2 3 2 3 2 6" xfId="8377" xr:uid="{00000000-0005-0000-0000-0000A3090000}"/>
    <cellStyle name="Millares 6 2 3 2 3 2 7" xfId="9811" xr:uid="{00000000-0005-0000-0000-0000A4090000}"/>
    <cellStyle name="Millares 6 2 3 2 3 3" xfId="1670" xr:uid="{00000000-0005-0000-0000-0000A5090000}"/>
    <cellStyle name="Millares 6 2 3 2 3 3 2" xfId="3141" xr:uid="{00000000-0005-0000-0000-0000A6090000}"/>
    <cellStyle name="Millares 6 2 3 2 3 3 3" xfId="4578" xr:uid="{00000000-0005-0000-0000-0000A7090000}"/>
    <cellStyle name="Millares 6 2 3 2 3 3 4" xfId="6015" xr:uid="{00000000-0005-0000-0000-0000A8090000}"/>
    <cellStyle name="Millares 6 2 3 2 3 3 5" xfId="7461" xr:uid="{00000000-0005-0000-0000-0000A9090000}"/>
    <cellStyle name="Millares 6 2 3 2 3 3 6" xfId="8902" xr:uid="{00000000-0005-0000-0000-0000AA090000}"/>
    <cellStyle name="Millares 6 2 3 2 3 3 7" xfId="10335" xr:uid="{00000000-0005-0000-0000-0000AB090000}"/>
    <cellStyle name="Millares 6 2 3 2 3 4" xfId="2140" xr:uid="{00000000-0005-0000-0000-0000AC090000}"/>
    <cellStyle name="Millares 6 2 3 2 3 5" xfId="3597" xr:uid="{00000000-0005-0000-0000-0000AD090000}"/>
    <cellStyle name="Millares 6 2 3 2 3 6" xfId="5034" xr:uid="{00000000-0005-0000-0000-0000AE090000}"/>
    <cellStyle name="Millares 6 2 3 2 3 7" xfId="6480" xr:uid="{00000000-0005-0000-0000-0000AF090000}"/>
    <cellStyle name="Millares 6 2 3 2 3 8" xfId="7919" xr:uid="{00000000-0005-0000-0000-0000B0090000}"/>
    <cellStyle name="Millares 6 2 3 2 3 9" xfId="9354" xr:uid="{00000000-0005-0000-0000-0000B1090000}"/>
    <cellStyle name="Millares 6 2 3 2 4" xfId="783" xr:uid="{00000000-0005-0000-0000-0000B2090000}"/>
    <cellStyle name="Millares 6 2 3 2 4 2" xfId="2274" xr:uid="{00000000-0005-0000-0000-0000B3090000}"/>
    <cellStyle name="Millares 6 2 3 2 4 3" xfId="3727" xr:uid="{00000000-0005-0000-0000-0000B4090000}"/>
    <cellStyle name="Millares 6 2 3 2 4 4" xfId="5164" xr:uid="{00000000-0005-0000-0000-0000B5090000}"/>
    <cellStyle name="Millares 6 2 3 2 4 5" xfId="6610" xr:uid="{00000000-0005-0000-0000-0000B6090000}"/>
    <cellStyle name="Millares 6 2 3 2 4 6" xfId="8050" xr:uid="{00000000-0005-0000-0000-0000B7090000}"/>
    <cellStyle name="Millares 6 2 3 2 4 7" xfId="9484" xr:uid="{00000000-0005-0000-0000-0000B8090000}"/>
    <cellStyle name="Millares 6 2 3 2 5" xfId="1339" xr:uid="{00000000-0005-0000-0000-0000B9090000}"/>
    <cellStyle name="Millares 6 2 3 2 5 2" xfId="2814" xr:uid="{00000000-0005-0000-0000-0000BA090000}"/>
    <cellStyle name="Millares 6 2 3 2 5 3" xfId="4251" xr:uid="{00000000-0005-0000-0000-0000BB090000}"/>
    <cellStyle name="Millares 6 2 3 2 5 4" xfId="5688" xr:uid="{00000000-0005-0000-0000-0000BC090000}"/>
    <cellStyle name="Millares 6 2 3 2 5 5" xfId="7134" xr:uid="{00000000-0005-0000-0000-0000BD090000}"/>
    <cellStyle name="Millares 6 2 3 2 5 6" xfId="8575" xr:uid="{00000000-0005-0000-0000-0000BE090000}"/>
    <cellStyle name="Millares 6 2 3 2 5 7" xfId="10008" xr:uid="{00000000-0005-0000-0000-0000BF090000}"/>
    <cellStyle name="Millares 6 2 3 2 6" xfId="1813" xr:uid="{00000000-0005-0000-0000-0000C0090000}"/>
    <cellStyle name="Millares 6 2 3 2 7" xfId="3270" xr:uid="{00000000-0005-0000-0000-0000C1090000}"/>
    <cellStyle name="Millares 6 2 3 2 8" xfId="4707" xr:uid="{00000000-0005-0000-0000-0000C2090000}"/>
    <cellStyle name="Millares 6 2 3 2 9" xfId="6153" xr:uid="{00000000-0005-0000-0000-0000C3090000}"/>
    <cellStyle name="Millares 6 2 3 3" xfId="368" xr:uid="{00000000-0005-0000-0000-0000C4090000}"/>
    <cellStyle name="Millares 6 2 3 3 2" xfId="850" xr:uid="{00000000-0005-0000-0000-0000C5090000}"/>
    <cellStyle name="Millares 6 2 3 3 2 2" xfId="2341" xr:uid="{00000000-0005-0000-0000-0000C6090000}"/>
    <cellStyle name="Millares 6 2 3 3 2 3" xfId="3792" xr:uid="{00000000-0005-0000-0000-0000C7090000}"/>
    <cellStyle name="Millares 6 2 3 3 2 4" xfId="5229" xr:uid="{00000000-0005-0000-0000-0000C8090000}"/>
    <cellStyle name="Millares 6 2 3 3 2 5" xfId="6675" xr:uid="{00000000-0005-0000-0000-0000C9090000}"/>
    <cellStyle name="Millares 6 2 3 3 2 6" xfId="8115" xr:uid="{00000000-0005-0000-0000-0000CA090000}"/>
    <cellStyle name="Millares 6 2 3 3 2 7" xfId="9549" xr:uid="{00000000-0005-0000-0000-0000CB090000}"/>
    <cellStyle name="Millares 6 2 3 3 3" xfId="1404" xr:uid="{00000000-0005-0000-0000-0000CC090000}"/>
    <cellStyle name="Millares 6 2 3 3 3 2" xfId="2879" xr:uid="{00000000-0005-0000-0000-0000CD090000}"/>
    <cellStyle name="Millares 6 2 3 3 3 3" xfId="4316" xr:uid="{00000000-0005-0000-0000-0000CE090000}"/>
    <cellStyle name="Millares 6 2 3 3 3 4" xfId="5753" xr:uid="{00000000-0005-0000-0000-0000CF090000}"/>
    <cellStyle name="Millares 6 2 3 3 3 5" xfId="7199" xr:uid="{00000000-0005-0000-0000-0000D0090000}"/>
    <cellStyle name="Millares 6 2 3 3 3 6" xfId="8640" xr:uid="{00000000-0005-0000-0000-0000D1090000}"/>
    <cellStyle name="Millares 6 2 3 3 3 7" xfId="10073" xr:uid="{00000000-0005-0000-0000-0000D2090000}"/>
    <cellStyle name="Millares 6 2 3 3 4" xfId="1878" xr:uid="{00000000-0005-0000-0000-0000D3090000}"/>
    <cellStyle name="Millares 6 2 3 3 5" xfId="3335" xr:uid="{00000000-0005-0000-0000-0000D4090000}"/>
    <cellStyle name="Millares 6 2 3 3 6" xfId="4772" xr:uid="{00000000-0005-0000-0000-0000D5090000}"/>
    <cellStyle name="Millares 6 2 3 3 7" xfId="6218" xr:uid="{00000000-0005-0000-0000-0000D6090000}"/>
    <cellStyle name="Millares 6 2 3 3 8" xfId="7656" xr:uid="{00000000-0005-0000-0000-0000D7090000}"/>
    <cellStyle name="Millares 6 2 3 3 9" xfId="9093" xr:uid="{00000000-0005-0000-0000-0000D8090000}"/>
    <cellStyle name="Millares 6 2 3 4" xfId="507" xr:uid="{00000000-0005-0000-0000-0000D9090000}"/>
    <cellStyle name="Millares 6 2 3 4 2" xfId="986" xr:uid="{00000000-0005-0000-0000-0000DA090000}"/>
    <cellStyle name="Millares 6 2 3 4 2 2" xfId="2477" xr:uid="{00000000-0005-0000-0000-0000DB090000}"/>
    <cellStyle name="Millares 6 2 3 4 2 3" xfId="3924" xr:uid="{00000000-0005-0000-0000-0000DC090000}"/>
    <cellStyle name="Millares 6 2 3 4 2 4" xfId="5361" xr:uid="{00000000-0005-0000-0000-0000DD090000}"/>
    <cellStyle name="Millares 6 2 3 4 2 5" xfId="6807" xr:uid="{00000000-0005-0000-0000-0000DE090000}"/>
    <cellStyle name="Millares 6 2 3 4 2 6" xfId="8247" xr:uid="{00000000-0005-0000-0000-0000DF090000}"/>
    <cellStyle name="Millares 6 2 3 4 2 7" xfId="9681" xr:uid="{00000000-0005-0000-0000-0000E0090000}"/>
    <cellStyle name="Millares 6 2 3 4 3" xfId="1538" xr:uid="{00000000-0005-0000-0000-0000E1090000}"/>
    <cellStyle name="Millares 6 2 3 4 3 2" xfId="3011" xr:uid="{00000000-0005-0000-0000-0000E2090000}"/>
    <cellStyle name="Millares 6 2 3 4 3 3" xfId="4448" xr:uid="{00000000-0005-0000-0000-0000E3090000}"/>
    <cellStyle name="Millares 6 2 3 4 3 4" xfId="5885" xr:uid="{00000000-0005-0000-0000-0000E4090000}"/>
    <cellStyle name="Millares 6 2 3 4 3 5" xfId="7331" xr:uid="{00000000-0005-0000-0000-0000E5090000}"/>
    <cellStyle name="Millares 6 2 3 4 3 6" xfId="8772" xr:uid="{00000000-0005-0000-0000-0000E6090000}"/>
    <cellStyle name="Millares 6 2 3 4 3 7" xfId="10205" xr:uid="{00000000-0005-0000-0000-0000E7090000}"/>
    <cellStyle name="Millares 6 2 3 4 4" xfId="2010" xr:uid="{00000000-0005-0000-0000-0000E8090000}"/>
    <cellStyle name="Millares 6 2 3 4 5" xfId="3467" xr:uid="{00000000-0005-0000-0000-0000E9090000}"/>
    <cellStyle name="Millares 6 2 3 4 6" xfId="4904" xr:uid="{00000000-0005-0000-0000-0000EA090000}"/>
    <cellStyle name="Millares 6 2 3 4 7" xfId="6350" xr:uid="{00000000-0005-0000-0000-0000EB090000}"/>
    <cellStyle name="Millares 6 2 3 4 8" xfId="7788" xr:uid="{00000000-0005-0000-0000-0000EC090000}"/>
    <cellStyle name="Millares 6 2 3 4 9" xfId="9225" xr:uid="{00000000-0005-0000-0000-0000ED090000}"/>
    <cellStyle name="Millares 6 2 3 5" xfId="572" xr:uid="{00000000-0005-0000-0000-0000EE090000}"/>
    <cellStyle name="Millares 6 2 3 5 2" xfId="1051" xr:uid="{00000000-0005-0000-0000-0000EF090000}"/>
    <cellStyle name="Millares 6 2 3 5 2 2" xfId="2542" xr:uid="{00000000-0005-0000-0000-0000F0090000}"/>
    <cellStyle name="Millares 6 2 3 5 2 3" xfId="3989" xr:uid="{00000000-0005-0000-0000-0000F1090000}"/>
    <cellStyle name="Millares 6 2 3 5 2 4" xfId="5426" xr:uid="{00000000-0005-0000-0000-0000F2090000}"/>
    <cellStyle name="Millares 6 2 3 5 2 5" xfId="6872" xr:uid="{00000000-0005-0000-0000-0000F3090000}"/>
    <cellStyle name="Millares 6 2 3 5 2 6" xfId="8312" xr:uid="{00000000-0005-0000-0000-0000F4090000}"/>
    <cellStyle name="Millares 6 2 3 5 2 7" xfId="9746" xr:uid="{00000000-0005-0000-0000-0000F5090000}"/>
    <cellStyle name="Millares 6 2 3 5 3" xfId="1603" xr:uid="{00000000-0005-0000-0000-0000F6090000}"/>
    <cellStyle name="Millares 6 2 3 5 3 2" xfId="3076" xr:uid="{00000000-0005-0000-0000-0000F7090000}"/>
    <cellStyle name="Millares 6 2 3 5 3 3" xfId="4513" xr:uid="{00000000-0005-0000-0000-0000F8090000}"/>
    <cellStyle name="Millares 6 2 3 5 3 4" xfId="5950" xr:uid="{00000000-0005-0000-0000-0000F9090000}"/>
    <cellStyle name="Millares 6 2 3 5 3 5" xfId="7396" xr:uid="{00000000-0005-0000-0000-0000FA090000}"/>
    <cellStyle name="Millares 6 2 3 5 3 6" xfId="8837" xr:uid="{00000000-0005-0000-0000-0000FB090000}"/>
    <cellStyle name="Millares 6 2 3 5 3 7" xfId="10270" xr:uid="{00000000-0005-0000-0000-0000FC090000}"/>
    <cellStyle name="Millares 6 2 3 5 4" xfId="2075" xr:uid="{00000000-0005-0000-0000-0000FD090000}"/>
    <cellStyle name="Millares 6 2 3 5 5" xfId="3532" xr:uid="{00000000-0005-0000-0000-0000FE090000}"/>
    <cellStyle name="Millares 6 2 3 5 6" xfId="4969" xr:uid="{00000000-0005-0000-0000-0000FF090000}"/>
    <cellStyle name="Millares 6 2 3 5 7" xfId="6415" xr:uid="{00000000-0005-0000-0000-0000000A0000}"/>
    <cellStyle name="Millares 6 2 3 5 8" xfId="7853" xr:uid="{00000000-0005-0000-0000-0000010A0000}"/>
    <cellStyle name="Millares 6 2 3 5 9" xfId="9289" xr:uid="{00000000-0005-0000-0000-0000020A0000}"/>
    <cellStyle name="Millares 6 2 3 6" xfId="714" xr:uid="{00000000-0005-0000-0000-0000030A0000}"/>
    <cellStyle name="Millares 6 2 3 6 2" xfId="2205" xr:uid="{00000000-0005-0000-0000-0000040A0000}"/>
    <cellStyle name="Millares 6 2 3 6 3" xfId="3662" xr:uid="{00000000-0005-0000-0000-0000050A0000}"/>
    <cellStyle name="Millares 6 2 3 6 4" xfId="5099" xr:uid="{00000000-0005-0000-0000-0000060A0000}"/>
    <cellStyle name="Millares 6 2 3 6 5" xfId="6545" xr:uid="{00000000-0005-0000-0000-0000070A0000}"/>
    <cellStyle name="Millares 6 2 3 6 6" xfId="7984" xr:uid="{00000000-0005-0000-0000-0000080A0000}"/>
    <cellStyle name="Millares 6 2 3 6 7" xfId="9419" xr:uid="{00000000-0005-0000-0000-0000090A0000}"/>
    <cellStyle name="Millares 6 2 3 7" xfId="1205" xr:uid="{00000000-0005-0000-0000-00000A0A0000}"/>
    <cellStyle name="Millares 6 2 3 7 2" xfId="2684" xr:uid="{00000000-0005-0000-0000-00000B0A0000}"/>
    <cellStyle name="Millares 6 2 3 7 3" xfId="4121" xr:uid="{00000000-0005-0000-0000-00000C0A0000}"/>
    <cellStyle name="Millares 6 2 3 7 4" xfId="5558" xr:uid="{00000000-0005-0000-0000-00000D0A0000}"/>
    <cellStyle name="Millares 6 2 3 7 5" xfId="7004" xr:uid="{00000000-0005-0000-0000-00000E0A0000}"/>
    <cellStyle name="Millares 6 2 3 7 6" xfId="8445" xr:uid="{00000000-0005-0000-0000-00000F0A0000}"/>
    <cellStyle name="Millares 6 2 3 7 7" xfId="9878" xr:uid="{00000000-0005-0000-0000-0000100A0000}"/>
    <cellStyle name="Millares 6 2 3 8" xfId="1270" xr:uid="{00000000-0005-0000-0000-0000110A0000}"/>
    <cellStyle name="Millares 6 2 3 8 2" xfId="2749" xr:uid="{00000000-0005-0000-0000-0000120A0000}"/>
    <cellStyle name="Millares 6 2 3 8 3" xfId="4186" xr:uid="{00000000-0005-0000-0000-0000130A0000}"/>
    <cellStyle name="Millares 6 2 3 8 4" xfId="5623" xr:uid="{00000000-0005-0000-0000-0000140A0000}"/>
    <cellStyle name="Millares 6 2 3 8 5" xfId="7069" xr:uid="{00000000-0005-0000-0000-0000150A0000}"/>
    <cellStyle name="Millares 6 2 3 8 6" xfId="8510" xr:uid="{00000000-0005-0000-0000-0000160A0000}"/>
    <cellStyle name="Millares 6 2 3 8 7" xfId="9943" xr:uid="{00000000-0005-0000-0000-0000170A0000}"/>
    <cellStyle name="Millares 6 2 3 9" xfId="1748" xr:uid="{00000000-0005-0000-0000-0000180A0000}"/>
    <cellStyle name="Millares 6 2 4" xfId="267" xr:uid="{00000000-0005-0000-0000-0000190A0000}"/>
    <cellStyle name="Millares 6 2 4 10" xfId="7557" xr:uid="{00000000-0005-0000-0000-00001A0A0000}"/>
    <cellStyle name="Millares 6 2 4 11" xfId="8996" xr:uid="{00000000-0005-0000-0000-00001B0A0000}"/>
    <cellStyle name="Millares 6 2 4 2" xfId="403" xr:uid="{00000000-0005-0000-0000-00001C0A0000}"/>
    <cellStyle name="Millares 6 2 4 2 2" xfId="885" xr:uid="{00000000-0005-0000-0000-00001D0A0000}"/>
    <cellStyle name="Millares 6 2 4 2 2 2" xfId="2376" xr:uid="{00000000-0005-0000-0000-00001E0A0000}"/>
    <cellStyle name="Millares 6 2 4 2 2 3" xfId="3823" xr:uid="{00000000-0005-0000-0000-00001F0A0000}"/>
    <cellStyle name="Millares 6 2 4 2 2 4" xfId="5260" xr:uid="{00000000-0005-0000-0000-0000200A0000}"/>
    <cellStyle name="Millares 6 2 4 2 2 5" xfId="6706" xr:uid="{00000000-0005-0000-0000-0000210A0000}"/>
    <cellStyle name="Millares 6 2 4 2 2 6" xfId="8146" xr:uid="{00000000-0005-0000-0000-0000220A0000}"/>
    <cellStyle name="Millares 6 2 4 2 2 7" xfId="9580" xr:uid="{00000000-0005-0000-0000-0000230A0000}"/>
    <cellStyle name="Millares 6 2 4 2 3" xfId="1437" xr:uid="{00000000-0005-0000-0000-0000240A0000}"/>
    <cellStyle name="Millares 6 2 4 2 3 2" xfId="2910" xr:uid="{00000000-0005-0000-0000-0000250A0000}"/>
    <cellStyle name="Millares 6 2 4 2 3 3" xfId="4347" xr:uid="{00000000-0005-0000-0000-0000260A0000}"/>
    <cellStyle name="Millares 6 2 4 2 3 4" xfId="5784" xr:uid="{00000000-0005-0000-0000-0000270A0000}"/>
    <cellStyle name="Millares 6 2 4 2 3 5" xfId="7230" xr:uid="{00000000-0005-0000-0000-0000280A0000}"/>
    <cellStyle name="Millares 6 2 4 2 3 6" xfId="8671" xr:uid="{00000000-0005-0000-0000-0000290A0000}"/>
    <cellStyle name="Millares 6 2 4 2 3 7" xfId="10104" xr:uid="{00000000-0005-0000-0000-00002A0A0000}"/>
    <cellStyle name="Millares 6 2 4 2 4" xfId="1909" xr:uid="{00000000-0005-0000-0000-00002B0A0000}"/>
    <cellStyle name="Millares 6 2 4 2 5" xfId="3366" xr:uid="{00000000-0005-0000-0000-00002C0A0000}"/>
    <cellStyle name="Millares 6 2 4 2 6" xfId="4803" xr:uid="{00000000-0005-0000-0000-00002D0A0000}"/>
    <cellStyle name="Millares 6 2 4 2 7" xfId="6249" xr:uid="{00000000-0005-0000-0000-00002E0A0000}"/>
    <cellStyle name="Millares 6 2 4 2 8" xfId="7687" xr:uid="{00000000-0005-0000-0000-00002F0A0000}"/>
    <cellStyle name="Millares 6 2 4 2 9" xfId="9124" xr:uid="{00000000-0005-0000-0000-0000300A0000}"/>
    <cellStyle name="Millares 6 2 4 3" xfId="607" xr:uid="{00000000-0005-0000-0000-0000310A0000}"/>
    <cellStyle name="Millares 6 2 4 3 2" xfId="1086" xr:uid="{00000000-0005-0000-0000-0000320A0000}"/>
    <cellStyle name="Millares 6 2 4 3 2 2" xfId="2577" xr:uid="{00000000-0005-0000-0000-0000330A0000}"/>
    <cellStyle name="Millares 6 2 4 3 2 3" xfId="4020" xr:uid="{00000000-0005-0000-0000-0000340A0000}"/>
    <cellStyle name="Millares 6 2 4 3 2 4" xfId="5457" xr:uid="{00000000-0005-0000-0000-0000350A0000}"/>
    <cellStyle name="Millares 6 2 4 3 2 5" xfId="6903" xr:uid="{00000000-0005-0000-0000-0000360A0000}"/>
    <cellStyle name="Millares 6 2 4 3 2 6" xfId="8343" xr:uid="{00000000-0005-0000-0000-0000370A0000}"/>
    <cellStyle name="Millares 6 2 4 3 2 7" xfId="9777" xr:uid="{00000000-0005-0000-0000-0000380A0000}"/>
    <cellStyle name="Millares 6 2 4 3 3" xfId="1636" xr:uid="{00000000-0005-0000-0000-0000390A0000}"/>
    <cellStyle name="Millares 6 2 4 3 3 2" xfId="3107" xr:uid="{00000000-0005-0000-0000-00003A0A0000}"/>
    <cellStyle name="Millares 6 2 4 3 3 3" xfId="4544" xr:uid="{00000000-0005-0000-0000-00003B0A0000}"/>
    <cellStyle name="Millares 6 2 4 3 3 4" xfId="5981" xr:uid="{00000000-0005-0000-0000-00003C0A0000}"/>
    <cellStyle name="Millares 6 2 4 3 3 5" xfId="7427" xr:uid="{00000000-0005-0000-0000-00003D0A0000}"/>
    <cellStyle name="Millares 6 2 4 3 3 6" xfId="8868" xr:uid="{00000000-0005-0000-0000-00003E0A0000}"/>
    <cellStyle name="Millares 6 2 4 3 3 7" xfId="10301" xr:uid="{00000000-0005-0000-0000-00003F0A0000}"/>
    <cellStyle name="Millares 6 2 4 3 4" xfId="2106" xr:uid="{00000000-0005-0000-0000-0000400A0000}"/>
    <cellStyle name="Millares 6 2 4 3 5" xfId="3563" xr:uid="{00000000-0005-0000-0000-0000410A0000}"/>
    <cellStyle name="Millares 6 2 4 3 6" xfId="5000" xr:uid="{00000000-0005-0000-0000-0000420A0000}"/>
    <cellStyle name="Millares 6 2 4 3 7" xfId="6446" xr:uid="{00000000-0005-0000-0000-0000430A0000}"/>
    <cellStyle name="Millares 6 2 4 3 8" xfId="7885" xr:uid="{00000000-0005-0000-0000-0000440A0000}"/>
    <cellStyle name="Millares 6 2 4 3 9" xfId="9320" xr:uid="{00000000-0005-0000-0000-0000450A0000}"/>
    <cellStyle name="Millares 6 2 4 4" xfId="749" xr:uid="{00000000-0005-0000-0000-0000460A0000}"/>
    <cellStyle name="Millares 6 2 4 4 2" xfId="2240" xr:uid="{00000000-0005-0000-0000-0000470A0000}"/>
    <cellStyle name="Millares 6 2 4 4 3" xfId="3693" xr:uid="{00000000-0005-0000-0000-0000480A0000}"/>
    <cellStyle name="Millares 6 2 4 4 4" xfId="5130" xr:uid="{00000000-0005-0000-0000-0000490A0000}"/>
    <cellStyle name="Millares 6 2 4 4 5" xfId="6576" xr:uid="{00000000-0005-0000-0000-00004A0A0000}"/>
    <cellStyle name="Millares 6 2 4 4 6" xfId="8016" xr:uid="{00000000-0005-0000-0000-00004B0A0000}"/>
    <cellStyle name="Millares 6 2 4 4 7" xfId="9450" xr:uid="{00000000-0005-0000-0000-00004C0A0000}"/>
    <cellStyle name="Millares 6 2 4 5" xfId="1305" xr:uid="{00000000-0005-0000-0000-00004D0A0000}"/>
    <cellStyle name="Millares 6 2 4 5 2" xfId="2780" xr:uid="{00000000-0005-0000-0000-00004E0A0000}"/>
    <cellStyle name="Millares 6 2 4 5 3" xfId="4217" xr:uid="{00000000-0005-0000-0000-00004F0A0000}"/>
    <cellStyle name="Millares 6 2 4 5 4" xfId="5654" xr:uid="{00000000-0005-0000-0000-0000500A0000}"/>
    <cellStyle name="Millares 6 2 4 5 5" xfId="7100" xr:uid="{00000000-0005-0000-0000-0000510A0000}"/>
    <cellStyle name="Millares 6 2 4 5 6" xfId="8541" xr:uid="{00000000-0005-0000-0000-0000520A0000}"/>
    <cellStyle name="Millares 6 2 4 5 7" xfId="9974" xr:uid="{00000000-0005-0000-0000-0000530A0000}"/>
    <cellStyle name="Millares 6 2 4 6" xfId="1779" xr:uid="{00000000-0005-0000-0000-0000540A0000}"/>
    <cellStyle name="Millares 6 2 4 7" xfId="3236" xr:uid="{00000000-0005-0000-0000-0000550A0000}"/>
    <cellStyle name="Millares 6 2 4 8" xfId="4673" xr:uid="{00000000-0005-0000-0000-0000560A0000}"/>
    <cellStyle name="Millares 6 2 4 9" xfId="6119" xr:uid="{00000000-0005-0000-0000-0000570A0000}"/>
    <cellStyle name="Millares 6 2 5" xfId="334" xr:uid="{00000000-0005-0000-0000-0000580A0000}"/>
    <cellStyle name="Millares 6 2 5 2" xfId="816" xr:uid="{00000000-0005-0000-0000-0000590A0000}"/>
    <cellStyle name="Millares 6 2 5 2 2" xfId="2307" xr:uid="{00000000-0005-0000-0000-00005A0A0000}"/>
    <cellStyle name="Millares 6 2 5 2 3" xfId="3758" xr:uid="{00000000-0005-0000-0000-00005B0A0000}"/>
    <cellStyle name="Millares 6 2 5 2 4" xfId="5195" xr:uid="{00000000-0005-0000-0000-00005C0A0000}"/>
    <cellStyle name="Millares 6 2 5 2 5" xfId="6641" xr:uid="{00000000-0005-0000-0000-00005D0A0000}"/>
    <cellStyle name="Millares 6 2 5 2 6" xfId="8081" xr:uid="{00000000-0005-0000-0000-00005E0A0000}"/>
    <cellStyle name="Millares 6 2 5 2 7" xfId="9515" xr:uid="{00000000-0005-0000-0000-00005F0A0000}"/>
    <cellStyle name="Millares 6 2 5 3" xfId="1370" xr:uid="{00000000-0005-0000-0000-0000600A0000}"/>
    <cellStyle name="Millares 6 2 5 3 2" xfId="2845" xr:uid="{00000000-0005-0000-0000-0000610A0000}"/>
    <cellStyle name="Millares 6 2 5 3 3" xfId="4282" xr:uid="{00000000-0005-0000-0000-0000620A0000}"/>
    <cellStyle name="Millares 6 2 5 3 4" xfId="5719" xr:uid="{00000000-0005-0000-0000-0000630A0000}"/>
    <cellStyle name="Millares 6 2 5 3 5" xfId="7165" xr:uid="{00000000-0005-0000-0000-0000640A0000}"/>
    <cellStyle name="Millares 6 2 5 3 6" xfId="8606" xr:uid="{00000000-0005-0000-0000-0000650A0000}"/>
    <cellStyle name="Millares 6 2 5 3 7" xfId="10039" xr:uid="{00000000-0005-0000-0000-0000660A0000}"/>
    <cellStyle name="Millares 6 2 5 4" xfId="1844" xr:uid="{00000000-0005-0000-0000-0000670A0000}"/>
    <cellStyle name="Millares 6 2 5 5" xfId="3301" xr:uid="{00000000-0005-0000-0000-0000680A0000}"/>
    <cellStyle name="Millares 6 2 5 6" xfId="4738" xr:uid="{00000000-0005-0000-0000-0000690A0000}"/>
    <cellStyle name="Millares 6 2 5 7" xfId="6184" xr:uid="{00000000-0005-0000-0000-00006A0A0000}"/>
    <cellStyle name="Millares 6 2 5 8" xfId="7622" xr:uid="{00000000-0005-0000-0000-00006B0A0000}"/>
    <cellStyle name="Millares 6 2 5 9" xfId="9060" xr:uid="{00000000-0005-0000-0000-00006C0A0000}"/>
    <cellStyle name="Millares 6 2 6" xfId="473" xr:uid="{00000000-0005-0000-0000-00006D0A0000}"/>
    <cellStyle name="Millares 6 2 6 2" xfId="952" xr:uid="{00000000-0005-0000-0000-00006E0A0000}"/>
    <cellStyle name="Millares 6 2 6 2 2" xfId="2443" xr:uid="{00000000-0005-0000-0000-00006F0A0000}"/>
    <cellStyle name="Millares 6 2 6 2 3" xfId="3890" xr:uid="{00000000-0005-0000-0000-0000700A0000}"/>
    <cellStyle name="Millares 6 2 6 2 4" xfId="5327" xr:uid="{00000000-0005-0000-0000-0000710A0000}"/>
    <cellStyle name="Millares 6 2 6 2 5" xfId="6773" xr:uid="{00000000-0005-0000-0000-0000720A0000}"/>
    <cellStyle name="Millares 6 2 6 2 6" xfId="8213" xr:uid="{00000000-0005-0000-0000-0000730A0000}"/>
    <cellStyle name="Millares 6 2 6 2 7" xfId="9647" xr:uid="{00000000-0005-0000-0000-0000740A0000}"/>
    <cellStyle name="Millares 6 2 6 3" xfId="1504" xr:uid="{00000000-0005-0000-0000-0000750A0000}"/>
    <cellStyle name="Millares 6 2 6 3 2" xfId="2977" xr:uid="{00000000-0005-0000-0000-0000760A0000}"/>
    <cellStyle name="Millares 6 2 6 3 3" xfId="4414" xr:uid="{00000000-0005-0000-0000-0000770A0000}"/>
    <cellStyle name="Millares 6 2 6 3 4" xfId="5851" xr:uid="{00000000-0005-0000-0000-0000780A0000}"/>
    <cellStyle name="Millares 6 2 6 3 5" xfId="7297" xr:uid="{00000000-0005-0000-0000-0000790A0000}"/>
    <cellStyle name="Millares 6 2 6 3 6" xfId="8738" xr:uid="{00000000-0005-0000-0000-00007A0A0000}"/>
    <cellStyle name="Millares 6 2 6 3 7" xfId="10171" xr:uid="{00000000-0005-0000-0000-00007B0A0000}"/>
    <cellStyle name="Millares 6 2 6 4" xfId="1976" xr:uid="{00000000-0005-0000-0000-00007C0A0000}"/>
    <cellStyle name="Millares 6 2 6 5" xfId="3433" xr:uid="{00000000-0005-0000-0000-00007D0A0000}"/>
    <cellStyle name="Millares 6 2 6 6" xfId="4870" xr:uid="{00000000-0005-0000-0000-00007E0A0000}"/>
    <cellStyle name="Millares 6 2 6 7" xfId="6316" xr:uid="{00000000-0005-0000-0000-00007F0A0000}"/>
    <cellStyle name="Millares 6 2 6 8" xfId="7754" xr:uid="{00000000-0005-0000-0000-0000800A0000}"/>
    <cellStyle name="Millares 6 2 6 9" xfId="9191" xr:uid="{00000000-0005-0000-0000-0000810A0000}"/>
    <cellStyle name="Millares 6 2 7" xfId="538" xr:uid="{00000000-0005-0000-0000-0000820A0000}"/>
    <cellStyle name="Millares 6 2 7 2" xfId="1017" xr:uid="{00000000-0005-0000-0000-0000830A0000}"/>
    <cellStyle name="Millares 6 2 7 2 2" xfId="2508" xr:uid="{00000000-0005-0000-0000-0000840A0000}"/>
    <cellStyle name="Millares 6 2 7 2 3" xfId="3955" xr:uid="{00000000-0005-0000-0000-0000850A0000}"/>
    <cellStyle name="Millares 6 2 7 2 4" xfId="5392" xr:uid="{00000000-0005-0000-0000-0000860A0000}"/>
    <cellStyle name="Millares 6 2 7 2 5" xfId="6838" xr:uid="{00000000-0005-0000-0000-0000870A0000}"/>
    <cellStyle name="Millares 6 2 7 2 6" xfId="8278" xr:uid="{00000000-0005-0000-0000-0000880A0000}"/>
    <cellStyle name="Millares 6 2 7 2 7" xfId="9712" xr:uid="{00000000-0005-0000-0000-0000890A0000}"/>
    <cellStyle name="Millares 6 2 7 3" xfId="1569" xr:uid="{00000000-0005-0000-0000-00008A0A0000}"/>
    <cellStyle name="Millares 6 2 7 3 2" xfId="3042" xr:uid="{00000000-0005-0000-0000-00008B0A0000}"/>
    <cellStyle name="Millares 6 2 7 3 3" xfId="4479" xr:uid="{00000000-0005-0000-0000-00008C0A0000}"/>
    <cellStyle name="Millares 6 2 7 3 4" xfId="5916" xr:uid="{00000000-0005-0000-0000-00008D0A0000}"/>
    <cellStyle name="Millares 6 2 7 3 5" xfId="7362" xr:uid="{00000000-0005-0000-0000-00008E0A0000}"/>
    <cellStyle name="Millares 6 2 7 3 6" xfId="8803" xr:uid="{00000000-0005-0000-0000-00008F0A0000}"/>
    <cellStyle name="Millares 6 2 7 3 7" xfId="10236" xr:uid="{00000000-0005-0000-0000-0000900A0000}"/>
    <cellStyle name="Millares 6 2 7 4" xfId="2041" xr:uid="{00000000-0005-0000-0000-0000910A0000}"/>
    <cellStyle name="Millares 6 2 7 5" xfId="3498" xr:uid="{00000000-0005-0000-0000-0000920A0000}"/>
    <cellStyle name="Millares 6 2 7 6" xfId="4935" xr:uid="{00000000-0005-0000-0000-0000930A0000}"/>
    <cellStyle name="Millares 6 2 7 7" xfId="6381" xr:uid="{00000000-0005-0000-0000-0000940A0000}"/>
    <cellStyle name="Millares 6 2 7 8" xfId="7819" xr:uid="{00000000-0005-0000-0000-0000950A0000}"/>
    <cellStyle name="Millares 6 2 7 9" xfId="9256" xr:uid="{00000000-0005-0000-0000-0000960A0000}"/>
    <cellStyle name="Millares 6 2 8" xfId="680" xr:uid="{00000000-0005-0000-0000-0000970A0000}"/>
    <cellStyle name="Millares 6 2 8 2" xfId="2171" xr:uid="{00000000-0005-0000-0000-0000980A0000}"/>
    <cellStyle name="Millares 6 2 8 3" xfId="3628" xr:uid="{00000000-0005-0000-0000-0000990A0000}"/>
    <cellStyle name="Millares 6 2 8 4" xfId="5065" xr:uid="{00000000-0005-0000-0000-00009A0A0000}"/>
    <cellStyle name="Millares 6 2 8 5" xfId="6511" xr:uid="{00000000-0005-0000-0000-00009B0A0000}"/>
    <cellStyle name="Millares 6 2 8 6" xfId="7950" xr:uid="{00000000-0005-0000-0000-00009C0A0000}"/>
    <cellStyle name="Millares 6 2 8 7" xfId="9385" xr:uid="{00000000-0005-0000-0000-00009D0A0000}"/>
    <cellStyle name="Millares 6 2 9" xfId="1171" xr:uid="{00000000-0005-0000-0000-00009E0A0000}"/>
    <cellStyle name="Millares 6 2 9 2" xfId="2650" xr:uid="{00000000-0005-0000-0000-00009F0A0000}"/>
    <cellStyle name="Millares 6 2 9 3" xfId="4087" xr:uid="{00000000-0005-0000-0000-0000A00A0000}"/>
    <cellStyle name="Millares 6 2 9 4" xfId="5524" xr:uid="{00000000-0005-0000-0000-0000A10A0000}"/>
    <cellStyle name="Millares 6 2 9 5" xfId="6970" xr:uid="{00000000-0005-0000-0000-0000A20A0000}"/>
    <cellStyle name="Millares 6 2 9 6" xfId="8411" xr:uid="{00000000-0005-0000-0000-0000A30A0000}"/>
    <cellStyle name="Millares 6 2 9 7" xfId="9844" xr:uid="{00000000-0005-0000-0000-0000A40A0000}"/>
    <cellStyle name="Millares 6 3" xfId="140" xr:uid="{00000000-0005-0000-0000-0000A50A0000}"/>
    <cellStyle name="Millares 6 3 10" xfId="1722" xr:uid="{00000000-0005-0000-0000-0000A60A0000}"/>
    <cellStyle name="Millares 6 3 11" xfId="3179" xr:uid="{00000000-0005-0000-0000-0000A70A0000}"/>
    <cellStyle name="Millares 6 3 12" xfId="4616" xr:uid="{00000000-0005-0000-0000-0000A80A0000}"/>
    <cellStyle name="Millares 6 3 13" xfId="6062" xr:uid="{00000000-0005-0000-0000-0000A90A0000}"/>
    <cellStyle name="Millares 6 3 14" xfId="7500" xr:uid="{00000000-0005-0000-0000-0000AA0A0000}"/>
    <cellStyle name="Millares 6 3 15" xfId="8940" xr:uid="{00000000-0005-0000-0000-0000AB0A0000}"/>
    <cellStyle name="Millares 6 3 2" xfId="237" xr:uid="{00000000-0005-0000-0000-0000AC0A0000}"/>
    <cellStyle name="Millares 6 3 2 10" xfId="3211" xr:uid="{00000000-0005-0000-0000-0000AD0A0000}"/>
    <cellStyle name="Millares 6 3 2 11" xfId="4648" xr:uid="{00000000-0005-0000-0000-0000AE0A0000}"/>
    <cellStyle name="Millares 6 3 2 12" xfId="6094" xr:uid="{00000000-0005-0000-0000-0000AF0A0000}"/>
    <cellStyle name="Millares 6 3 2 13" xfId="7532" xr:uid="{00000000-0005-0000-0000-0000B00A0000}"/>
    <cellStyle name="Millares 6 3 2 14" xfId="8972" xr:uid="{00000000-0005-0000-0000-0000B10A0000}"/>
    <cellStyle name="Millares 6 3 2 2" xfId="305" xr:uid="{00000000-0005-0000-0000-0000B20A0000}"/>
    <cellStyle name="Millares 6 3 2 2 10" xfId="7597" xr:uid="{00000000-0005-0000-0000-0000B30A0000}"/>
    <cellStyle name="Millares 6 3 2 2 11" xfId="9036" xr:uid="{00000000-0005-0000-0000-0000B40A0000}"/>
    <cellStyle name="Millares 6 3 2 2 2" xfId="443" xr:uid="{00000000-0005-0000-0000-0000B50A0000}"/>
    <cellStyle name="Millares 6 3 2 2 2 2" xfId="925" xr:uid="{00000000-0005-0000-0000-0000B60A0000}"/>
    <cellStyle name="Millares 6 3 2 2 2 2 2" xfId="2416" xr:uid="{00000000-0005-0000-0000-0000B70A0000}"/>
    <cellStyle name="Millares 6 3 2 2 2 2 3" xfId="3863" xr:uid="{00000000-0005-0000-0000-0000B80A0000}"/>
    <cellStyle name="Millares 6 3 2 2 2 2 4" xfId="5300" xr:uid="{00000000-0005-0000-0000-0000B90A0000}"/>
    <cellStyle name="Millares 6 3 2 2 2 2 5" xfId="6746" xr:uid="{00000000-0005-0000-0000-0000BA0A0000}"/>
    <cellStyle name="Millares 6 3 2 2 2 2 6" xfId="8186" xr:uid="{00000000-0005-0000-0000-0000BB0A0000}"/>
    <cellStyle name="Millares 6 3 2 2 2 2 7" xfId="9620" xr:uid="{00000000-0005-0000-0000-0000BC0A0000}"/>
    <cellStyle name="Millares 6 3 2 2 2 3" xfId="1477" xr:uid="{00000000-0005-0000-0000-0000BD0A0000}"/>
    <cellStyle name="Millares 6 3 2 2 2 3 2" xfId="2950" xr:uid="{00000000-0005-0000-0000-0000BE0A0000}"/>
    <cellStyle name="Millares 6 3 2 2 2 3 3" xfId="4387" xr:uid="{00000000-0005-0000-0000-0000BF0A0000}"/>
    <cellStyle name="Millares 6 3 2 2 2 3 4" xfId="5824" xr:uid="{00000000-0005-0000-0000-0000C00A0000}"/>
    <cellStyle name="Millares 6 3 2 2 2 3 5" xfId="7270" xr:uid="{00000000-0005-0000-0000-0000C10A0000}"/>
    <cellStyle name="Millares 6 3 2 2 2 3 6" xfId="8711" xr:uid="{00000000-0005-0000-0000-0000C20A0000}"/>
    <cellStyle name="Millares 6 3 2 2 2 3 7" xfId="10144" xr:uid="{00000000-0005-0000-0000-0000C30A0000}"/>
    <cellStyle name="Millares 6 3 2 2 2 4" xfId="1949" xr:uid="{00000000-0005-0000-0000-0000C40A0000}"/>
    <cellStyle name="Millares 6 3 2 2 2 5" xfId="3406" xr:uid="{00000000-0005-0000-0000-0000C50A0000}"/>
    <cellStyle name="Millares 6 3 2 2 2 6" xfId="4843" xr:uid="{00000000-0005-0000-0000-0000C60A0000}"/>
    <cellStyle name="Millares 6 3 2 2 2 7" xfId="6289" xr:uid="{00000000-0005-0000-0000-0000C70A0000}"/>
    <cellStyle name="Millares 6 3 2 2 2 8" xfId="7727" xr:uid="{00000000-0005-0000-0000-0000C80A0000}"/>
    <cellStyle name="Millares 6 3 2 2 2 9" xfId="9164" xr:uid="{00000000-0005-0000-0000-0000C90A0000}"/>
    <cellStyle name="Millares 6 3 2 2 3" xfId="647" xr:uid="{00000000-0005-0000-0000-0000CA0A0000}"/>
    <cellStyle name="Millares 6 3 2 2 3 2" xfId="1126" xr:uid="{00000000-0005-0000-0000-0000CB0A0000}"/>
    <cellStyle name="Millares 6 3 2 2 3 2 2" xfId="2617" xr:uid="{00000000-0005-0000-0000-0000CC0A0000}"/>
    <cellStyle name="Millares 6 3 2 2 3 2 3" xfId="4060" xr:uid="{00000000-0005-0000-0000-0000CD0A0000}"/>
    <cellStyle name="Millares 6 3 2 2 3 2 4" xfId="5497" xr:uid="{00000000-0005-0000-0000-0000CE0A0000}"/>
    <cellStyle name="Millares 6 3 2 2 3 2 5" xfId="6943" xr:uid="{00000000-0005-0000-0000-0000CF0A0000}"/>
    <cellStyle name="Millares 6 3 2 2 3 2 6" xfId="8383" xr:uid="{00000000-0005-0000-0000-0000D00A0000}"/>
    <cellStyle name="Millares 6 3 2 2 3 2 7" xfId="9817" xr:uid="{00000000-0005-0000-0000-0000D10A0000}"/>
    <cellStyle name="Millares 6 3 2 2 3 3" xfId="1676" xr:uid="{00000000-0005-0000-0000-0000D20A0000}"/>
    <cellStyle name="Millares 6 3 2 2 3 3 2" xfId="3147" xr:uid="{00000000-0005-0000-0000-0000D30A0000}"/>
    <cellStyle name="Millares 6 3 2 2 3 3 3" xfId="4584" xr:uid="{00000000-0005-0000-0000-0000D40A0000}"/>
    <cellStyle name="Millares 6 3 2 2 3 3 4" xfId="6021" xr:uid="{00000000-0005-0000-0000-0000D50A0000}"/>
    <cellStyle name="Millares 6 3 2 2 3 3 5" xfId="7467" xr:uid="{00000000-0005-0000-0000-0000D60A0000}"/>
    <cellStyle name="Millares 6 3 2 2 3 3 6" xfId="8908" xr:uid="{00000000-0005-0000-0000-0000D70A0000}"/>
    <cellStyle name="Millares 6 3 2 2 3 3 7" xfId="10341" xr:uid="{00000000-0005-0000-0000-0000D80A0000}"/>
    <cellStyle name="Millares 6 3 2 2 3 4" xfId="2146" xr:uid="{00000000-0005-0000-0000-0000D90A0000}"/>
    <cellStyle name="Millares 6 3 2 2 3 5" xfId="3603" xr:uid="{00000000-0005-0000-0000-0000DA0A0000}"/>
    <cellStyle name="Millares 6 3 2 2 3 6" xfId="5040" xr:uid="{00000000-0005-0000-0000-0000DB0A0000}"/>
    <cellStyle name="Millares 6 3 2 2 3 7" xfId="6486" xr:uid="{00000000-0005-0000-0000-0000DC0A0000}"/>
    <cellStyle name="Millares 6 3 2 2 3 8" xfId="7925" xr:uid="{00000000-0005-0000-0000-0000DD0A0000}"/>
    <cellStyle name="Millares 6 3 2 2 3 9" xfId="9360" xr:uid="{00000000-0005-0000-0000-0000DE0A0000}"/>
    <cellStyle name="Millares 6 3 2 2 4" xfId="789" xr:uid="{00000000-0005-0000-0000-0000DF0A0000}"/>
    <cellStyle name="Millares 6 3 2 2 4 2" xfId="2280" xr:uid="{00000000-0005-0000-0000-0000E00A0000}"/>
    <cellStyle name="Millares 6 3 2 2 4 3" xfId="3733" xr:uid="{00000000-0005-0000-0000-0000E10A0000}"/>
    <cellStyle name="Millares 6 3 2 2 4 4" xfId="5170" xr:uid="{00000000-0005-0000-0000-0000E20A0000}"/>
    <cellStyle name="Millares 6 3 2 2 4 5" xfId="6616" xr:uid="{00000000-0005-0000-0000-0000E30A0000}"/>
    <cellStyle name="Millares 6 3 2 2 4 6" xfId="8056" xr:uid="{00000000-0005-0000-0000-0000E40A0000}"/>
    <cellStyle name="Millares 6 3 2 2 4 7" xfId="9490" xr:uid="{00000000-0005-0000-0000-0000E50A0000}"/>
    <cellStyle name="Millares 6 3 2 2 5" xfId="1345" xr:uid="{00000000-0005-0000-0000-0000E60A0000}"/>
    <cellStyle name="Millares 6 3 2 2 5 2" xfId="2820" xr:uid="{00000000-0005-0000-0000-0000E70A0000}"/>
    <cellStyle name="Millares 6 3 2 2 5 3" xfId="4257" xr:uid="{00000000-0005-0000-0000-0000E80A0000}"/>
    <cellStyle name="Millares 6 3 2 2 5 4" xfId="5694" xr:uid="{00000000-0005-0000-0000-0000E90A0000}"/>
    <cellStyle name="Millares 6 3 2 2 5 5" xfId="7140" xr:uid="{00000000-0005-0000-0000-0000EA0A0000}"/>
    <cellStyle name="Millares 6 3 2 2 5 6" xfId="8581" xr:uid="{00000000-0005-0000-0000-0000EB0A0000}"/>
    <cellStyle name="Millares 6 3 2 2 5 7" xfId="10014" xr:uid="{00000000-0005-0000-0000-0000EC0A0000}"/>
    <cellStyle name="Millares 6 3 2 2 6" xfId="1819" xr:uid="{00000000-0005-0000-0000-0000ED0A0000}"/>
    <cellStyle name="Millares 6 3 2 2 7" xfId="3276" xr:uid="{00000000-0005-0000-0000-0000EE0A0000}"/>
    <cellStyle name="Millares 6 3 2 2 8" xfId="4713" xr:uid="{00000000-0005-0000-0000-0000EF0A0000}"/>
    <cellStyle name="Millares 6 3 2 2 9" xfId="6159" xr:uid="{00000000-0005-0000-0000-0000F00A0000}"/>
    <cellStyle name="Millares 6 3 2 3" xfId="374" xr:uid="{00000000-0005-0000-0000-0000F10A0000}"/>
    <cellStyle name="Millares 6 3 2 3 2" xfId="856" xr:uid="{00000000-0005-0000-0000-0000F20A0000}"/>
    <cellStyle name="Millares 6 3 2 3 2 2" xfId="2347" xr:uid="{00000000-0005-0000-0000-0000F30A0000}"/>
    <cellStyle name="Millares 6 3 2 3 2 3" xfId="3798" xr:uid="{00000000-0005-0000-0000-0000F40A0000}"/>
    <cellStyle name="Millares 6 3 2 3 2 4" xfId="5235" xr:uid="{00000000-0005-0000-0000-0000F50A0000}"/>
    <cellStyle name="Millares 6 3 2 3 2 5" xfId="6681" xr:uid="{00000000-0005-0000-0000-0000F60A0000}"/>
    <cellStyle name="Millares 6 3 2 3 2 6" xfId="8121" xr:uid="{00000000-0005-0000-0000-0000F70A0000}"/>
    <cellStyle name="Millares 6 3 2 3 2 7" xfId="9555" xr:uid="{00000000-0005-0000-0000-0000F80A0000}"/>
    <cellStyle name="Millares 6 3 2 3 3" xfId="1410" xr:uid="{00000000-0005-0000-0000-0000F90A0000}"/>
    <cellStyle name="Millares 6 3 2 3 3 2" xfId="2885" xr:uid="{00000000-0005-0000-0000-0000FA0A0000}"/>
    <cellStyle name="Millares 6 3 2 3 3 3" xfId="4322" xr:uid="{00000000-0005-0000-0000-0000FB0A0000}"/>
    <cellStyle name="Millares 6 3 2 3 3 4" xfId="5759" xr:uid="{00000000-0005-0000-0000-0000FC0A0000}"/>
    <cellStyle name="Millares 6 3 2 3 3 5" xfId="7205" xr:uid="{00000000-0005-0000-0000-0000FD0A0000}"/>
    <cellStyle name="Millares 6 3 2 3 3 6" xfId="8646" xr:uid="{00000000-0005-0000-0000-0000FE0A0000}"/>
    <cellStyle name="Millares 6 3 2 3 3 7" xfId="10079" xr:uid="{00000000-0005-0000-0000-0000FF0A0000}"/>
    <cellStyle name="Millares 6 3 2 3 4" xfId="1884" xr:uid="{00000000-0005-0000-0000-0000000B0000}"/>
    <cellStyle name="Millares 6 3 2 3 5" xfId="3341" xr:uid="{00000000-0005-0000-0000-0000010B0000}"/>
    <cellStyle name="Millares 6 3 2 3 6" xfId="4778" xr:uid="{00000000-0005-0000-0000-0000020B0000}"/>
    <cellStyle name="Millares 6 3 2 3 7" xfId="6224" xr:uid="{00000000-0005-0000-0000-0000030B0000}"/>
    <cellStyle name="Millares 6 3 2 3 8" xfId="7662" xr:uid="{00000000-0005-0000-0000-0000040B0000}"/>
    <cellStyle name="Millares 6 3 2 3 9" xfId="9099" xr:uid="{00000000-0005-0000-0000-0000050B0000}"/>
    <cellStyle name="Millares 6 3 2 4" xfId="513" xr:uid="{00000000-0005-0000-0000-0000060B0000}"/>
    <cellStyle name="Millares 6 3 2 4 2" xfId="992" xr:uid="{00000000-0005-0000-0000-0000070B0000}"/>
    <cellStyle name="Millares 6 3 2 4 2 2" xfId="2483" xr:uid="{00000000-0005-0000-0000-0000080B0000}"/>
    <cellStyle name="Millares 6 3 2 4 2 3" xfId="3930" xr:uid="{00000000-0005-0000-0000-0000090B0000}"/>
    <cellStyle name="Millares 6 3 2 4 2 4" xfId="5367" xr:uid="{00000000-0005-0000-0000-00000A0B0000}"/>
    <cellStyle name="Millares 6 3 2 4 2 5" xfId="6813" xr:uid="{00000000-0005-0000-0000-00000B0B0000}"/>
    <cellStyle name="Millares 6 3 2 4 2 6" xfId="8253" xr:uid="{00000000-0005-0000-0000-00000C0B0000}"/>
    <cellStyle name="Millares 6 3 2 4 2 7" xfId="9687" xr:uid="{00000000-0005-0000-0000-00000D0B0000}"/>
    <cellStyle name="Millares 6 3 2 4 3" xfId="1544" xr:uid="{00000000-0005-0000-0000-00000E0B0000}"/>
    <cellStyle name="Millares 6 3 2 4 3 2" xfId="3017" xr:uid="{00000000-0005-0000-0000-00000F0B0000}"/>
    <cellStyle name="Millares 6 3 2 4 3 3" xfId="4454" xr:uid="{00000000-0005-0000-0000-0000100B0000}"/>
    <cellStyle name="Millares 6 3 2 4 3 4" xfId="5891" xr:uid="{00000000-0005-0000-0000-0000110B0000}"/>
    <cellStyle name="Millares 6 3 2 4 3 5" xfId="7337" xr:uid="{00000000-0005-0000-0000-0000120B0000}"/>
    <cellStyle name="Millares 6 3 2 4 3 6" xfId="8778" xr:uid="{00000000-0005-0000-0000-0000130B0000}"/>
    <cellStyle name="Millares 6 3 2 4 3 7" xfId="10211" xr:uid="{00000000-0005-0000-0000-0000140B0000}"/>
    <cellStyle name="Millares 6 3 2 4 4" xfId="2016" xr:uid="{00000000-0005-0000-0000-0000150B0000}"/>
    <cellStyle name="Millares 6 3 2 4 5" xfId="3473" xr:uid="{00000000-0005-0000-0000-0000160B0000}"/>
    <cellStyle name="Millares 6 3 2 4 6" xfId="4910" xr:uid="{00000000-0005-0000-0000-0000170B0000}"/>
    <cellStyle name="Millares 6 3 2 4 7" xfId="6356" xr:uid="{00000000-0005-0000-0000-0000180B0000}"/>
    <cellStyle name="Millares 6 3 2 4 8" xfId="7794" xr:uid="{00000000-0005-0000-0000-0000190B0000}"/>
    <cellStyle name="Millares 6 3 2 4 9" xfId="9231" xr:uid="{00000000-0005-0000-0000-00001A0B0000}"/>
    <cellStyle name="Millares 6 3 2 5" xfId="578" xr:uid="{00000000-0005-0000-0000-00001B0B0000}"/>
    <cellStyle name="Millares 6 3 2 5 2" xfId="1057" xr:uid="{00000000-0005-0000-0000-00001C0B0000}"/>
    <cellStyle name="Millares 6 3 2 5 2 2" xfId="2548" xr:uid="{00000000-0005-0000-0000-00001D0B0000}"/>
    <cellStyle name="Millares 6 3 2 5 2 3" xfId="3995" xr:uid="{00000000-0005-0000-0000-00001E0B0000}"/>
    <cellStyle name="Millares 6 3 2 5 2 4" xfId="5432" xr:uid="{00000000-0005-0000-0000-00001F0B0000}"/>
    <cellStyle name="Millares 6 3 2 5 2 5" xfId="6878" xr:uid="{00000000-0005-0000-0000-0000200B0000}"/>
    <cellStyle name="Millares 6 3 2 5 2 6" xfId="8318" xr:uid="{00000000-0005-0000-0000-0000210B0000}"/>
    <cellStyle name="Millares 6 3 2 5 2 7" xfId="9752" xr:uid="{00000000-0005-0000-0000-0000220B0000}"/>
    <cellStyle name="Millares 6 3 2 5 3" xfId="1609" xr:uid="{00000000-0005-0000-0000-0000230B0000}"/>
    <cellStyle name="Millares 6 3 2 5 3 2" xfId="3082" xr:uid="{00000000-0005-0000-0000-0000240B0000}"/>
    <cellStyle name="Millares 6 3 2 5 3 3" xfId="4519" xr:uid="{00000000-0005-0000-0000-0000250B0000}"/>
    <cellStyle name="Millares 6 3 2 5 3 4" xfId="5956" xr:uid="{00000000-0005-0000-0000-0000260B0000}"/>
    <cellStyle name="Millares 6 3 2 5 3 5" xfId="7402" xr:uid="{00000000-0005-0000-0000-0000270B0000}"/>
    <cellStyle name="Millares 6 3 2 5 3 6" xfId="8843" xr:uid="{00000000-0005-0000-0000-0000280B0000}"/>
    <cellStyle name="Millares 6 3 2 5 3 7" xfId="10276" xr:uid="{00000000-0005-0000-0000-0000290B0000}"/>
    <cellStyle name="Millares 6 3 2 5 4" xfId="2081" xr:uid="{00000000-0005-0000-0000-00002A0B0000}"/>
    <cellStyle name="Millares 6 3 2 5 5" xfId="3538" xr:uid="{00000000-0005-0000-0000-00002B0B0000}"/>
    <cellStyle name="Millares 6 3 2 5 6" xfId="4975" xr:uid="{00000000-0005-0000-0000-00002C0B0000}"/>
    <cellStyle name="Millares 6 3 2 5 7" xfId="6421" xr:uid="{00000000-0005-0000-0000-00002D0B0000}"/>
    <cellStyle name="Millares 6 3 2 5 8" xfId="7859" xr:uid="{00000000-0005-0000-0000-00002E0B0000}"/>
    <cellStyle name="Millares 6 3 2 5 9" xfId="9295" xr:uid="{00000000-0005-0000-0000-00002F0B0000}"/>
    <cellStyle name="Millares 6 3 2 6" xfId="720" xr:uid="{00000000-0005-0000-0000-0000300B0000}"/>
    <cellStyle name="Millares 6 3 2 6 2" xfId="2211" xr:uid="{00000000-0005-0000-0000-0000310B0000}"/>
    <cellStyle name="Millares 6 3 2 6 3" xfId="3668" xr:uid="{00000000-0005-0000-0000-0000320B0000}"/>
    <cellStyle name="Millares 6 3 2 6 4" xfId="5105" xr:uid="{00000000-0005-0000-0000-0000330B0000}"/>
    <cellStyle name="Millares 6 3 2 6 5" xfId="6551" xr:uid="{00000000-0005-0000-0000-0000340B0000}"/>
    <cellStyle name="Millares 6 3 2 6 6" xfId="7990" xr:uid="{00000000-0005-0000-0000-0000350B0000}"/>
    <cellStyle name="Millares 6 3 2 6 7" xfId="9425" xr:uid="{00000000-0005-0000-0000-0000360B0000}"/>
    <cellStyle name="Millares 6 3 2 7" xfId="1211" xr:uid="{00000000-0005-0000-0000-0000370B0000}"/>
    <cellStyle name="Millares 6 3 2 7 2" xfId="2690" xr:uid="{00000000-0005-0000-0000-0000380B0000}"/>
    <cellStyle name="Millares 6 3 2 7 3" xfId="4127" xr:uid="{00000000-0005-0000-0000-0000390B0000}"/>
    <cellStyle name="Millares 6 3 2 7 4" xfId="5564" xr:uid="{00000000-0005-0000-0000-00003A0B0000}"/>
    <cellStyle name="Millares 6 3 2 7 5" xfId="7010" xr:uid="{00000000-0005-0000-0000-00003B0B0000}"/>
    <cellStyle name="Millares 6 3 2 7 6" xfId="8451" xr:uid="{00000000-0005-0000-0000-00003C0B0000}"/>
    <cellStyle name="Millares 6 3 2 7 7" xfId="9884" xr:uid="{00000000-0005-0000-0000-00003D0B0000}"/>
    <cellStyle name="Millares 6 3 2 8" xfId="1276" xr:uid="{00000000-0005-0000-0000-00003E0B0000}"/>
    <cellStyle name="Millares 6 3 2 8 2" xfId="2755" xr:uid="{00000000-0005-0000-0000-00003F0B0000}"/>
    <cellStyle name="Millares 6 3 2 8 3" xfId="4192" xr:uid="{00000000-0005-0000-0000-0000400B0000}"/>
    <cellStyle name="Millares 6 3 2 8 4" xfId="5629" xr:uid="{00000000-0005-0000-0000-0000410B0000}"/>
    <cellStyle name="Millares 6 3 2 8 5" xfId="7075" xr:uid="{00000000-0005-0000-0000-0000420B0000}"/>
    <cellStyle name="Millares 6 3 2 8 6" xfId="8516" xr:uid="{00000000-0005-0000-0000-0000430B0000}"/>
    <cellStyle name="Millares 6 3 2 8 7" xfId="9949" xr:uid="{00000000-0005-0000-0000-0000440B0000}"/>
    <cellStyle name="Millares 6 3 2 9" xfId="1754" xr:uid="{00000000-0005-0000-0000-0000450B0000}"/>
    <cellStyle name="Millares 6 3 3" xfId="273" xr:uid="{00000000-0005-0000-0000-0000460B0000}"/>
    <cellStyle name="Millares 6 3 3 10" xfId="7565" xr:uid="{00000000-0005-0000-0000-0000470B0000}"/>
    <cellStyle name="Millares 6 3 3 11" xfId="9004" xr:uid="{00000000-0005-0000-0000-0000480B0000}"/>
    <cellStyle name="Millares 6 3 3 2" xfId="411" xr:uid="{00000000-0005-0000-0000-0000490B0000}"/>
    <cellStyle name="Millares 6 3 3 2 2" xfId="893" xr:uid="{00000000-0005-0000-0000-00004A0B0000}"/>
    <cellStyle name="Millares 6 3 3 2 2 2" xfId="2384" xr:uid="{00000000-0005-0000-0000-00004B0B0000}"/>
    <cellStyle name="Millares 6 3 3 2 2 3" xfId="3831" xr:uid="{00000000-0005-0000-0000-00004C0B0000}"/>
    <cellStyle name="Millares 6 3 3 2 2 4" xfId="5268" xr:uid="{00000000-0005-0000-0000-00004D0B0000}"/>
    <cellStyle name="Millares 6 3 3 2 2 5" xfId="6714" xr:uid="{00000000-0005-0000-0000-00004E0B0000}"/>
    <cellStyle name="Millares 6 3 3 2 2 6" xfId="8154" xr:uid="{00000000-0005-0000-0000-00004F0B0000}"/>
    <cellStyle name="Millares 6 3 3 2 2 7" xfId="9588" xr:uid="{00000000-0005-0000-0000-0000500B0000}"/>
    <cellStyle name="Millares 6 3 3 2 3" xfId="1445" xr:uid="{00000000-0005-0000-0000-0000510B0000}"/>
    <cellStyle name="Millares 6 3 3 2 3 2" xfId="2918" xr:uid="{00000000-0005-0000-0000-0000520B0000}"/>
    <cellStyle name="Millares 6 3 3 2 3 3" xfId="4355" xr:uid="{00000000-0005-0000-0000-0000530B0000}"/>
    <cellStyle name="Millares 6 3 3 2 3 4" xfId="5792" xr:uid="{00000000-0005-0000-0000-0000540B0000}"/>
    <cellStyle name="Millares 6 3 3 2 3 5" xfId="7238" xr:uid="{00000000-0005-0000-0000-0000550B0000}"/>
    <cellStyle name="Millares 6 3 3 2 3 6" xfId="8679" xr:uid="{00000000-0005-0000-0000-0000560B0000}"/>
    <cellStyle name="Millares 6 3 3 2 3 7" xfId="10112" xr:uid="{00000000-0005-0000-0000-0000570B0000}"/>
    <cellStyle name="Millares 6 3 3 2 4" xfId="1917" xr:uid="{00000000-0005-0000-0000-0000580B0000}"/>
    <cellStyle name="Millares 6 3 3 2 5" xfId="3374" xr:uid="{00000000-0005-0000-0000-0000590B0000}"/>
    <cellStyle name="Millares 6 3 3 2 6" xfId="4811" xr:uid="{00000000-0005-0000-0000-00005A0B0000}"/>
    <cellStyle name="Millares 6 3 3 2 7" xfId="6257" xr:uid="{00000000-0005-0000-0000-00005B0B0000}"/>
    <cellStyle name="Millares 6 3 3 2 8" xfId="7695" xr:uid="{00000000-0005-0000-0000-00005C0B0000}"/>
    <cellStyle name="Millares 6 3 3 2 9" xfId="9132" xr:uid="{00000000-0005-0000-0000-00005D0B0000}"/>
    <cellStyle name="Millares 6 3 3 3" xfId="615" xr:uid="{00000000-0005-0000-0000-00005E0B0000}"/>
    <cellStyle name="Millares 6 3 3 3 2" xfId="1094" xr:uid="{00000000-0005-0000-0000-00005F0B0000}"/>
    <cellStyle name="Millares 6 3 3 3 2 2" xfId="2585" xr:uid="{00000000-0005-0000-0000-0000600B0000}"/>
    <cellStyle name="Millares 6 3 3 3 2 3" xfId="4028" xr:uid="{00000000-0005-0000-0000-0000610B0000}"/>
    <cellStyle name="Millares 6 3 3 3 2 4" xfId="5465" xr:uid="{00000000-0005-0000-0000-0000620B0000}"/>
    <cellStyle name="Millares 6 3 3 3 2 5" xfId="6911" xr:uid="{00000000-0005-0000-0000-0000630B0000}"/>
    <cellStyle name="Millares 6 3 3 3 2 6" xfId="8351" xr:uid="{00000000-0005-0000-0000-0000640B0000}"/>
    <cellStyle name="Millares 6 3 3 3 2 7" xfId="9785" xr:uid="{00000000-0005-0000-0000-0000650B0000}"/>
    <cellStyle name="Millares 6 3 3 3 3" xfId="1644" xr:uid="{00000000-0005-0000-0000-0000660B0000}"/>
    <cellStyle name="Millares 6 3 3 3 3 2" xfId="3115" xr:uid="{00000000-0005-0000-0000-0000670B0000}"/>
    <cellStyle name="Millares 6 3 3 3 3 3" xfId="4552" xr:uid="{00000000-0005-0000-0000-0000680B0000}"/>
    <cellStyle name="Millares 6 3 3 3 3 4" xfId="5989" xr:uid="{00000000-0005-0000-0000-0000690B0000}"/>
    <cellStyle name="Millares 6 3 3 3 3 5" xfId="7435" xr:uid="{00000000-0005-0000-0000-00006A0B0000}"/>
    <cellStyle name="Millares 6 3 3 3 3 6" xfId="8876" xr:uid="{00000000-0005-0000-0000-00006B0B0000}"/>
    <cellStyle name="Millares 6 3 3 3 3 7" xfId="10309" xr:uid="{00000000-0005-0000-0000-00006C0B0000}"/>
    <cellStyle name="Millares 6 3 3 3 4" xfId="2114" xr:uid="{00000000-0005-0000-0000-00006D0B0000}"/>
    <cellStyle name="Millares 6 3 3 3 5" xfId="3571" xr:uid="{00000000-0005-0000-0000-00006E0B0000}"/>
    <cellStyle name="Millares 6 3 3 3 6" xfId="5008" xr:uid="{00000000-0005-0000-0000-00006F0B0000}"/>
    <cellStyle name="Millares 6 3 3 3 7" xfId="6454" xr:uid="{00000000-0005-0000-0000-0000700B0000}"/>
    <cellStyle name="Millares 6 3 3 3 8" xfId="7893" xr:uid="{00000000-0005-0000-0000-0000710B0000}"/>
    <cellStyle name="Millares 6 3 3 3 9" xfId="9328" xr:uid="{00000000-0005-0000-0000-0000720B0000}"/>
    <cellStyle name="Millares 6 3 3 4" xfId="757" xr:uid="{00000000-0005-0000-0000-0000730B0000}"/>
    <cellStyle name="Millares 6 3 3 4 2" xfId="2248" xr:uid="{00000000-0005-0000-0000-0000740B0000}"/>
    <cellStyle name="Millares 6 3 3 4 3" xfId="3701" xr:uid="{00000000-0005-0000-0000-0000750B0000}"/>
    <cellStyle name="Millares 6 3 3 4 4" xfId="5138" xr:uid="{00000000-0005-0000-0000-0000760B0000}"/>
    <cellStyle name="Millares 6 3 3 4 5" xfId="6584" xr:uid="{00000000-0005-0000-0000-0000770B0000}"/>
    <cellStyle name="Millares 6 3 3 4 6" xfId="8024" xr:uid="{00000000-0005-0000-0000-0000780B0000}"/>
    <cellStyle name="Millares 6 3 3 4 7" xfId="9458" xr:uid="{00000000-0005-0000-0000-0000790B0000}"/>
    <cellStyle name="Millares 6 3 3 5" xfId="1313" xr:uid="{00000000-0005-0000-0000-00007A0B0000}"/>
    <cellStyle name="Millares 6 3 3 5 2" xfId="2788" xr:uid="{00000000-0005-0000-0000-00007B0B0000}"/>
    <cellStyle name="Millares 6 3 3 5 3" xfId="4225" xr:uid="{00000000-0005-0000-0000-00007C0B0000}"/>
    <cellStyle name="Millares 6 3 3 5 4" xfId="5662" xr:uid="{00000000-0005-0000-0000-00007D0B0000}"/>
    <cellStyle name="Millares 6 3 3 5 5" xfId="7108" xr:uid="{00000000-0005-0000-0000-00007E0B0000}"/>
    <cellStyle name="Millares 6 3 3 5 6" xfId="8549" xr:uid="{00000000-0005-0000-0000-00007F0B0000}"/>
    <cellStyle name="Millares 6 3 3 5 7" xfId="9982" xr:uid="{00000000-0005-0000-0000-0000800B0000}"/>
    <cellStyle name="Millares 6 3 3 6" xfId="1787" xr:uid="{00000000-0005-0000-0000-0000810B0000}"/>
    <cellStyle name="Millares 6 3 3 7" xfId="3244" xr:uid="{00000000-0005-0000-0000-0000820B0000}"/>
    <cellStyle name="Millares 6 3 3 8" xfId="4681" xr:uid="{00000000-0005-0000-0000-0000830B0000}"/>
    <cellStyle name="Millares 6 3 3 9" xfId="6127" xr:uid="{00000000-0005-0000-0000-0000840B0000}"/>
    <cellStyle name="Millares 6 3 4" xfId="342" xr:uid="{00000000-0005-0000-0000-0000850B0000}"/>
    <cellStyle name="Millares 6 3 4 2" xfId="824" xr:uid="{00000000-0005-0000-0000-0000860B0000}"/>
    <cellStyle name="Millares 6 3 4 2 2" xfId="2315" xr:uid="{00000000-0005-0000-0000-0000870B0000}"/>
    <cellStyle name="Millares 6 3 4 2 3" xfId="3766" xr:uid="{00000000-0005-0000-0000-0000880B0000}"/>
    <cellStyle name="Millares 6 3 4 2 4" xfId="5203" xr:uid="{00000000-0005-0000-0000-0000890B0000}"/>
    <cellStyle name="Millares 6 3 4 2 5" xfId="6649" xr:uid="{00000000-0005-0000-0000-00008A0B0000}"/>
    <cellStyle name="Millares 6 3 4 2 6" xfId="8089" xr:uid="{00000000-0005-0000-0000-00008B0B0000}"/>
    <cellStyle name="Millares 6 3 4 2 7" xfId="9523" xr:uid="{00000000-0005-0000-0000-00008C0B0000}"/>
    <cellStyle name="Millares 6 3 4 3" xfId="1378" xr:uid="{00000000-0005-0000-0000-00008D0B0000}"/>
    <cellStyle name="Millares 6 3 4 3 2" xfId="2853" xr:uid="{00000000-0005-0000-0000-00008E0B0000}"/>
    <cellStyle name="Millares 6 3 4 3 3" xfId="4290" xr:uid="{00000000-0005-0000-0000-00008F0B0000}"/>
    <cellStyle name="Millares 6 3 4 3 4" xfId="5727" xr:uid="{00000000-0005-0000-0000-0000900B0000}"/>
    <cellStyle name="Millares 6 3 4 3 5" xfId="7173" xr:uid="{00000000-0005-0000-0000-0000910B0000}"/>
    <cellStyle name="Millares 6 3 4 3 6" xfId="8614" xr:uid="{00000000-0005-0000-0000-0000920B0000}"/>
    <cellStyle name="Millares 6 3 4 3 7" xfId="10047" xr:uid="{00000000-0005-0000-0000-0000930B0000}"/>
    <cellStyle name="Millares 6 3 4 4" xfId="1852" xr:uid="{00000000-0005-0000-0000-0000940B0000}"/>
    <cellStyle name="Millares 6 3 4 5" xfId="3309" xr:uid="{00000000-0005-0000-0000-0000950B0000}"/>
    <cellStyle name="Millares 6 3 4 6" xfId="4746" xr:uid="{00000000-0005-0000-0000-0000960B0000}"/>
    <cellStyle name="Millares 6 3 4 7" xfId="6192" xr:uid="{00000000-0005-0000-0000-0000970B0000}"/>
    <cellStyle name="Millares 6 3 4 8" xfId="7630" xr:uid="{00000000-0005-0000-0000-0000980B0000}"/>
    <cellStyle name="Millares 6 3 4 9" xfId="9067" xr:uid="{00000000-0005-0000-0000-0000990B0000}"/>
    <cellStyle name="Millares 6 3 5" xfId="481" xr:uid="{00000000-0005-0000-0000-00009A0B0000}"/>
    <cellStyle name="Millares 6 3 5 2" xfId="960" xr:uid="{00000000-0005-0000-0000-00009B0B0000}"/>
    <cellStyle name="Millares 6 3 5 2 2" xfId="2451" xr:uid="{00000000-0005-0000-0000-00009C0B0000}"/>
    <cellStyle name="Millares 6 3 5 2 3" xfId="3898" xr:uid="{00000000-0005-0000-0000-00009D0B0000}"/>
    <cellStyle name="Millares 6 3 5 2 4" xfId="5335" xr:uid="{00000000-0005-0000-0000-00009E0B0000}"/>
    <cellStyle name="Millares 6 3 5 2 5" xfId="6781" xr:uid="{00000000-0005-0000-0000-00009F0B0000}"/>
    <cellStyle name="Millares 6 3 5 2 6" xfId="8221" xr:uid="{00000000-0005-0000-0000-0000A00B0000}"/>
    <cellStyle name="Millares 6 3 5 2 7" xfId="9655" xr:uid="{00000000-0005-0000-0000-0000A10B0000}"/>
    <cellStyle name="Millares 6 3 5 3" xfId="1512" xr:uid="{00000000-0005-0000-0000-0000A20B0000}"/>
    <cellStyle name="Millares 6 3 5 3 2" xfId="2985" xr:uid="{00000000-0005-0000-0000-0000A30B0000}"/>
    <cellStyle name="Millares 6 3 5 3 3" xfId="4422" xr:uid="{00000000-0005-0000-0000-0000A40B0000}"/>
    <cellStyle name="Millares 6 3 5 3 4" xfId="5859" xr:uid="{00000000-0005-0000-0000-0000A50B0000}"/>
    <cellStyle name="Millares 6 3 5 3 5" xfId="7305" xr:uid="{00000000-0005-0000-0000-0000A60B0000}"/>
    <cellStyle name="Millares 6 3 5 3 6" xfId="8746" xr:uid="{00000000-0005-0000-0000-0000A70B0000}"/>
    <cellStyle name="Millares 6 3 5 3 7" xfId="10179" xr:uid="{00000000-0005-0000-0000-0000A80B0000}"/>
    <cellStyle name="Millares 6 3 5 4" xfId="1984" xr:uid="{00000000-0005-0000-0000-0000A90B0000}"/>
    <cellStyle name="Millares 6 3 5 5" xfId="3441" xr:uid="{00000000-0005-0000-0000-0000AA0B0000}"/>
    <cellStyle name="Millares 6 3 5 6" xfId="4878" xr:uid="{00000000-0005-0000-0000-0000AB0B0000}"/>
    <cellStyle name="Millares 6 3 5 7" xfId="6324" xr:uid="{00000000-0005-0000-0000-0000AC0B0000}"/>
    <cellStyle name="Millares 6 3 5 8" xfId="7762" xr:uid="{00000000-0005-0000-0000-0000AD0B0000}"/>
    <cellStyle name="Millares 6 3 5 9" xfId="9199" xr:uid="{00000000-0005-0000-0000-0000AE0B0000}"/>
    <cellStyle name="Millares 6 3 6" xfId="546" xr:uid="{00000000-0005-0000-0000-0000AF0B0000}"/>
    <cellStyle name="Millares 6 3 6 2" xfId="1025" xr:uid="{00000000-0005-0000-0000-0000B00B0000}"/>
    <cellStyle name="Millares 6 3 6 2 2" xfId="2516" xr:uid="{00000000-0005-0000-0000-0000B10B0000}"/>
    <cellStyle name="Millares 6 3 6 2 3" xfId="3963" xr:uid="{00000000-0005-0000-0000-0000B20B0000}"/>
    <cellStyle name="Millares 6 3 6 2 4" xfId="5400" xr:uid="{00000000-0005-0000-0000-0000B30B0000}"/>
    <cellStyle name="Millares 6 3 6 2 5" xfId="6846" xr:uid="{00000000-0005-0000-0000-0000B40B0000}"/>
    <cellStyle name="Millares 6 3 6 2 6" xfId="8286" xr:uid="{00000000-0005-0000-0000-0000B50B0000}"/>
    <cellStyle name="Millares 6 3 6 2 7" xfId="9720" xr:uid="{00000000-0005-0000-0000-0000B60B0000}"/>
    <cellStyle name="Millares 6 3 6 3" xfId="1577" xr:uid="{00000000-0005-0000-0000-0000B70B0000}"/>
    <cellStyle name="Millares 6 3 6 3 2" xfId="3050" xr:uid="{00000000-0005-0000-0000-0000B80B0000}"/>
    <cellStyle name="Millares 6 3 6 3 3" xfId="4487" xr:uid="{00000000-0005-0000-0000-0000B90B0000}"/>
    <cellStyle name="Millares 6 3 6 3 4" xfId="5924" xr:uid="{00000000-0005-0000-0000-0000BA0B0000}"/>
    <cellStyle name="Millares 6 3 6 3 5" xfId="7370" xr:uid="{00000000-0005-0000-0000-0000BB0B0000}"/>
    <cellStyle name="Millares 6 3 6 3 6" xfId="8811" xr:uid="{00000000-0005-0000-0000-0000BC0B0000}"/>
    <cellStyle name="Millares 6 3 6 3 7" xfId="10244" xr:uid="{00000000-0005-0000-0000-0000BD0B0000}"/>
    <cellStyle name="Millares 6 3 6 4" xfId="2049" xr:uid="{00000000-0005-0000-0000-0000BE0B0000}"/>
    <cellStyle name="Millares 6 3 6 5" xfId="3506" xr:uid="{00000000-0005-0000-0000-0000BF0B0000}"/>
    <cellStyle name="Millares 6 3 6 6" xfId="4943" xr:uid="{00000000-0005-0000-0000-0000C00B0000}"/>
    <cellStyle name="Millares 6 3 6 7" xfId="6389" xr:uid="{00000000-0005-0000-0000-0000C10B0000}"/>
    <cellStyle name="Millares 6 3 6 8" xfId="7827" xr:uid="{00000000-0005-0000-0000-0000C20B0000}"/>
    <cellStyle name="Millares 6 3 6 9" xfId="9263" xr:uid="{00000000-0005-0000-0000-0000C30B0000}"/>
    <cellStyle name="Millares 6 3 7" xfId="688" xr:uid="{00000000-0005-0000-0000-0000C40B0000}"/>
    <cellStyle name="Millares 6 3 7 2" xfId="2179" xr:uid="{00000000-0005-0000-0000-0000C50B0000}"/>
    <cellStyle name="Millares 6 3 7 3" xfId="3636" xr:uid="{00000000-0005-0000-0000-0000C60B0000}"/>
    <cellStyle name="Millares 6 3 7 4" xfId="5073" xr:uid="{00000000-0005-0000-0000-0000C70B0000}"/>
    <cellStyle name="Millares 6 3 7 5" xfId="6519" xr:uid="{00000000-0005-0000-0000-0000C80B0000}"/>
    <cellStyle name="Millares 6 3 7 6" xfId="7958" xr:uid="{00000000-0005-0000-0000-0000C90B0000}"/>
    <cellStyle name="Millares 6 3 7 7" xfId="9393" xr:uid="{00000000-0005-0000-0000-0000CA0B0000}"/>
    <cellStyle name="Millares 6 3 8" xfId="1179" xr:uid="{00000000-0005-0000-0000-0000CB0B0000}"/>
    <cellStyle name="Millares 6 3 8 2" xfId="2658" xr:uid="{00000000-0005-0000-0000-0000CC0B0000}"/>
    <cellStyle name="Millares 6 3 8 3" xfId="4095" xr:uid="{00000000-0005-0000-0000-0000CD0B0000}"/>
    <cellStyle name="Millares 6 3 8 4" xfId="5532" xr:uid="{00000000-0005-0000-0000-0000CE0B0000}"/>
    <cellStyle name="Millares 6 3 8 5" xfId="6978" xr:uid="{00000000-0005-0000-0000-0000CF0B0000}"/>
    <cellStyle name="Millares 6 3 8 6" xfId="8419" xr:uid="{00000000-0005-0000-0000-0000D00B0000}"/>
    <cellStyle name="Millares 6 3 8 7" xfId="9852" xr:uid="{00000000-0005-0000-0000-0000D10B0000}"/>
    <cellStyle name="Millares 6 3 9" xfId="1244" xr:uid="{00000000-0005-0000-0000-0000D20B0000}"/>
    <cellStyle name="Millares 6 3 9 2" xfId="2723" xr:uid="{00000000-0005-0000-0000-0000D30B0000}"/>
    <cellStyle name="Millares 6 3 9 3" xfId="4160" xr:uid="{00000000-0005-0000-0000-0000D40B0000}"/>
    <cellStyle name="Millares 6 3 9 4" xfId="5597" xr:uid="{00000000-0005-0000-0000-0000D50B0000}"/>
    <cellStyle name="Millares 6 3 9 5" xfId="7043" xr:uid="{00000000-0005-0000-0000-0000D60B0000}"/>
    <cellStyle name="Millares 6 3 9 6" xfId="8484" xr:uid="{00000000-0005-0000-0000-0000D70B0000}"/>
    <cellStyle name="Millares 6 3 9 7" xfId="9917" xr:uid="{00000000-0005-0000-0000-0000D80B0000}"/>
    <cellStyle name="Millares 6 4" xfId="222" xr:uid="{00000000-0005-0000-0000-0000D90B0000}"/>
    <cellStyle name="Millares 6 4 10" xfId="3197" xr:uid="{00000000-0005-0000-0000-0000DA0B0000}"/>
    <cellStyle name="Millares 6 4 11" xfId="4634" xr:uid="{00000000-0005-0000-0000-0000DB0B0000}"/>
    <cellStyle name="Millares 6 4 12" xfId="6080" xr:uid="{00000000-0005-0000-0000-0000DC0B0000}"/>
    <cellStyle name="Millares 6 4 13" xfId="7518" xr:uid="{00000000-0005-0000-0000-0000DD0B0000}"/>
    <cellStyle name="Millares 6 4 14" xfId="8958" xr:uid="{00000000-0005-0000-0000-0000DE0B0000}"/>
    <cellStyle name="Millares 6 4 2" xfId="291" xr:uid="{00000000-0005-0000-0000-0000DF0B0000}"/>
    <cellStyle name="Millares 6 4 2 10" xfId="7583" xr:uid="{00000000-0005-0000-0000-0000E00B0000}"/>
    <cellStyle name="Millares 6 4 2 11" xfId="9022" xr:uid="{00000000-0005-0000-0000-0000E10B0000}"/>
    <cellStyle name="Millares 6 4 2 2" xfId="429" xr:uid="{00000000-0005-0000-0000-0000E20B0000}"/>
    <cellStyle name="Millares 6 4 2 2 2" xfId="911" xr:uid="{00000000-0005-0000-0000-0000E30B0000}"/>
    <cellStyle name="Millares 6 4 2 2 2 2" xfId="2402" xr:uid="{00000000-0005-0000-0000-0000E40B0000}"/>
    <cellStyle name="Millares 6 4 2 2 2 3" xfId="3849" xr:uid="{00000000-0005-0000-0000-0000E50B0000}"/>
    <cellStyle name="Millares 6 4 2 2 2 4" xfId="5286" xr:uid="{00000000-0005-0000-0000-0000E60B0000}"/>
    <cellStyle name="Millares 6 4 2 2 2 5" xfId="6732" xr:uid="{00000000-0005-0000-0000-0000E70B0000}"/>
    <cellStyle name="Millares 6 4 2 2 2 6" xfId="8172" xr:uid="{00000000-0005-0000-0000-0000E80B0000}"/>
    <cellStyle name="Millares 6 4 2 2 2 7" xfId="9606" xr:uid="{00000000-0005-0000-0000-0000E90B0000}"/>
    <cellStyle name="Millares 6 4 2 2 3" xfId="1463" xr:uid="{00000000-0005-0000-0000-0000EA0B0000}"/>
    <cellStyle name="Millares 6 4 2 2 3 2" xfId="2936" xr:uid="{00000000-0005-0000-0000-0000EB0B0000}"/>
    <cellStyle name="Millares 6 4 2 2 3 3" xfId="4373" xr:uid="{00000000-0005-0000-0000-0000EC0B0000}"/>
    <cellStyle name="Millares 6 4 2 2 3 4" xfId="5810" xr:uid="{00000000-0005-0000-0000-0000ED0B0000}"/>
    <cellStyle name="Millares 6 4 2 2 3 5" xfId="7256" xr:uid="{00000000-0005-0000-0000-0000EE0B0000}"/>
    <cellStyle name="Millares 6 4 2 2 3 6" xfId="8697" xr:uid="{00000000-0005-0000-0000-0000EF0B0000}"/>
    <cellStyle name="Millares 6 4 2 2 3 7" xfId="10130" xr:uid="{00000000-0005-0000-0000-0000F00B0000}"/>
    <cellStyle name="Millares 6 4 2 2 4" xfId="1935" xr:uid="{00000000-0005-0000-0000-0000F10B0000}"/>
    <cellStyle name="Millares 6 4 2 2 5" xfId="3392" xr:uid="{00000000-0005-0000-0000-0000F20B0000}"/>
    <cellStyle name="Millares 6 4 2 2 6" xfId="4829" xr:uid="{00000000-0005-0000-0000-0000F30B0000}"/>
    <cellStyle name="Millares 6 4 2 2 7" xfId="6275" xr:uid="{00000000-0005-0000-0000-0000F40B0000}"/>
    <cellStyle name="Millares 6 4 2 2 8" xfId="7713" xr:uid="{00000000-0005-0000-0000-0000F50B0000}"/>
    <cellStyle name="Millares 6 4 2 2 9" xfId="9150" xr:uid="{00000000-0005-0000-0000-0000F60B0000}"/>
    <cellStyle name="Millares 6 4 2 3" xfId="633" xr:uid="{00000000-0005-0000-0000-0000F70B0000}"/>
    <cellStyle name="Millares 6 4 2 3 2" xfId="1112" xr:uid="{00000000-0005-0000-0000-0000F80B0000}"/>
    <cellStyle name="Millares 6 4 2 3 2 2" xfId="2603" xr:uid="{00000000-0005-0000-0000-0000F90B0000}"/>
    <cellStyle name="Millares 6 4 2 3 2 3" xfId="4046" xr:uid="{00000000-0005-0000-0000-0000FA0B0000}"/>
    <cellStyle name="Millares 6 4 2 3 2 4" xfId="5483" xr:uid="{00000000-0005-0000-0000-0000FB0B0000}"/>
    <cellStyle name="Millares 6 4 2 3 2 5" xfId="6929" xr:uid="{00000000-0005-0000-0000-0000FC0B0000}"/>
    <cellStyle name="Millares 6 4 2 3 2 6" xfId="8369" xr:uid="{00000000-0005-0000-0000-0000FD0B0000}"/>
    <cellStyle name="Millares 6 4 2 3 2 7" xfId="9803" xr:uid="{00000000-0005-0000-0000-0000FE0B0000}"/>
    <cellStyle name="Millares 6 4 2 3 3" xfId="1662" xr:uid="{00000000-0005-0000-0000-0000FF0B0000}"/>
    <cellStyle name="Millares 6 4 2 3 3 2" xfId="3133" xr:uid="{00000000-0005-0000-0000-0000000C0000}"/>
    <cellStyle name="Millares 6 4 2 3 3 3" xfId="4570" xr:uid="{00000000-0005-0000-0000-0000010C0000}"/>
    <cellStyle name="Millares 6 4 2 3 3 4" xfId="6007" xr:uid="{00000000-0005-0000-0000-0000020C0000}"/>
    <cellStyle name="Millares 6 4 2 3 3 5" xfId="7453" xr:uid="{00000000-0005-0000-0000-0000030C0000}"/>
    <cellStyle name="Millares 6 4 2 3 3 6" xfId="8894" xr:uid="{00000000-0005-0000-0000-0000040C0000}"/>
    <cellStyle name="Millares 6 4 2 3 3 7" xfId="10327" xr:uid="{00000000-0005-0000-0000-0000050C0000}"/>
    <cellStyle name="Millares 6 4 2 3 4" xfId="2132" xr:uid="{00000000-0005-0000-0000-0000060C0000}"/>
    <cellStyle name="Millares 6 4 2 3 5" xfId="3589" xr:uid="{00000000-0005-0000-0000-0000070C0000}"/>
    <cellStyle name="Millares 6 4 2 3 6" xfId="5026" xr:uid="{00000000-0005-0000-0000-0000080C0000}"/>
    <cellStyle name="Millares 6 4 2 3 7" xfId="6472" xr:uid="{00000000-0005-0000-0000-0000090C0000}"/>
    <cellStyle name="Millares 6 4 2 3 8" xfId="7911" xr:uid="{00000000-0005-0000-0000-00000A0C0000}"/>
    <cellStyle name="Millares 6 4 2 3 9" xfId="9346" xr:uid="{00000000-0005-0000-0000-00000B0C0000}"/>
    <cellStyle name="Millares 6 4 2 4" xfId="775" xr:uid="{00000000-0005-0000-0000-00000C0C0000}"/>
    <cellStyle name="Millares 6 4 2 4 2" xfId="2266" xr:uid="{00000000-0005-0000-0000-00000D0C0000}"/>
    <cellStyle name="Millares 6 4 2 4 3" xfId="3719" xr:uid="{00000000-0005-0000-0000-00000E0C0000}"/>
    <cellStyle name="Millares 6 4 2 4 4" xfId="5156" xr:uid="{00000000-0005-0000-0000-00000F0C0000}"/>
    <cellStyle name="Millares 6 4 2 4 5" xfId="6602" xr:uid="{00000000-0005-0000-0000-0000100C0000}"/>
    <cellStyle name="Millares 6 4 2 4 6" xfId="8042" xr:uid="{00000000-0005-0000-0000-0000110C0000}"/>
    <cellStyle name="Millares 6 4 2 4 7" xfId="9476" xr:uid="{00000000-0005-0000-0000-0000120C0000}"/>
    <cellStyle name="Millares 6 4 2 5" xfId="1331" xr:uid="{00000000-0005-0000-0000-0000130C0000}"/>
    <cellStyle name="Millares 6 4 2 5 2" xfId="2806" xr:uid="{00000000-0005-0000-0000-0000140C0000}"/>
    <cellStyle name="Millares 6 4 2 5 3" xfId="4243" xr:uid="{00000000-0005-0000-0000-0000150C0000}"/>
    <cellStyle name="Millares 6 4 2 5 4" xfId="5680" xr:uid="{00000000-0005-0000-0000-0000160C0000}"/>
    <cellStyle name="Millares 6 4 2 5 5" xfId="7126" xr:uid="{00000000-0005-0000-0000-0000170C0000}"/>
    <cellStyle name="Millares 6 4 2 5 6" xfId="8567" xr:uid="{00000000-0005-0000-0000-0000180C0000}"/>
    <cellStyle name="Millares 6 4 2 5 7" xfId="10000" xr:uid="{00000000-0005-0000-0000-0000190C0000}"/>
    <cellStyle name="Millares 6 4 2 6" xfId="1805" xr:uid="{00000000-0005-0000-0000-00001A0C0000}"/>
    <cellStyle name="Millares 6 4 2 7" xfId="3262" xr:uid="{00000000-0005-0000-0000-00001B0C0000}"/>
    <cellStyle name="Millares 6 4 2 8" xfId="4699" xr:uid="{00000000-0005-0000-0000-00001C0C0000}"/>
    <cellStyle name="Millares 6 4 2 9" xfId="6145" xr:uid="{00000000-0005-0000-0000-00001D0C0000}"/>
    <cellStyle name="Millares 6 4 3" xfId="360" xr:uid="{00000000-0005-0000-0000-00001E0C0000}"/>
    <cellStyle name="Millares 6 4 3 2" xfId="842" xr:uid="{00000000-0005-0000-0000-00001F0C0000}"/>
    <cellStyle name="Millares 6 4 3 2 2" xfId="2333" xr:uid="{00000000-0005-0000-0000-0000200C0000}"/>
    <cellStyle name="Millares 6 4 3 2 3" xfId="3784" xr:uid="{00000000-0005-0000-0000-0000210C0000}"/>
    <cellStyle name="Millares 6 4 3 2 4" xfId="5221" xr:uid="{00000000-0005-0000-0000-0000220C0000}"/>
    <cellStyle name="Millares 6 4 3 2 5" xfId="6667" xr:uid="{00000000-0005-0000-0000-0000230C0000}"/>
    <cellStyle name="Millares 6 4 3 2 6" xfId="8107" xr:uid="{00000000-0005-0000-0000-0000240C0000}"/>
    <cellStyle name="Millares 6 4 3 2 7" xfId="9541" xr:uid="{00000000-0005-0000-0000-0000250C0000}"/>
    <cellStyle name="Millares 6 4 3 3" xfId="1396" xr:uid="{00000000-0005-0000-0000-0000260C0000}"/>
    <cellStyle name="Millares 6 4 3 3 2" xfId="2871" xr:uid="{00000000-0005-0000-0000-0000270C0000}"/>
    <cellStyle name="Millares 6 4 3 3 3" xfId="4308" xr:uid="{00000000-0005-0000-0000-0000280C0000}"/>
    <cellStyle name="Millares 6 4 3 3 4" xfId="5745" xr:uid="{00000000-0005-0000-0000-0000290C0000}"/>
    <cellStyle name="Millares 6 4 3 3 5" xfId="7191" xr:uid="{00000000-0005-0000-0000-00002A0C0000}"/>
    <cellStyle name="Millares 6 4 3 3 6" xfId="8632" xr:uid="{00000000-0005-0000-0000-00002B0C0000}"/>
    <cellStyle name="Millares 6 4 3 3 7" xfId="10065" xr:uid="{00000000-0005-0000-0000-00002C0C0000}"/>
    <cellStyle name="Millares 6 4 3 4" xfId="1870" xr:uid="{00000000-0005-0000-0000-00002D0C0000}"/>
    <cellStyle name="Millares 6 4 3 5" xfId="3327" xr:uid="{00000000-0005-0000-0000-00002E0C0000}"/>
    <cellStyle name="Millares 6 4 3 6" xfId="4764" xr:uid="{00000000-0005-0000-0000-00002F0C0000}"/>
    <cellStyle name="Millares 6 4 3 7" xfId="6210" xr:uid="{00000000-0005-0000-0000-0000300C0000}"/>
    <cellStyle name="Millares 6 4 3 8" xfId="7648" xr:uid="{00000000-0005-0000-0000-0000310C0000}"/>
    <cellStyle name="Millares 6 4 3 9" xfId="9085" xr:uid="{00000000-0005-0000-0000-0000320C0000}"/>
    <cellStyle name="Millares 6 4 4" xfId="499" xr:uid="{00000000-0005-0000-0000-0000330C0000}"/>
    <cellStyle name="Millares 6 4 4 2" xfId="978" xr:uid="{00000000-0005-0000-0000-0000340C0000}"/>
    <cellStyle name="Millares 6 4 4 2 2" xfId="2469" xr:uid="{00000000-0005-0000-0000-0000350C0000}"/>
    <cellStyle name="Millares 6 4 4 2 3" xfId="3916" xr:uid="{00000000-0005-0000-0000-0000360C0000}"/>
    <cellStyle name="Millares 6 4 4 2 4" xfId="5353" xr:uid="{00000000-0005-0000-0000-0000370C0000}"/>
    <cellStyle name="Millares 6 4 4 2 5" xfId="6799" xr:uid="{00000000-0005-0000-0000-0000380C0000}"/>
    <cellStyle name="Millares 6 4 4 2 6" xfId="8239" xr:uid="{00000000-0005-0000-0000-0000390C0000}"/>
    <cellStyle name="Millares 6 4 4 2 7" xfId="9673" xr:uid="{00000000-0005-0000-0000-00003A0C0000}"/>
    <cellStyle name="Millares 6 4 4 3" xfId="1530" xr:uid="{00000000-0005-0000-0000-00003B0C0000}"/>
    <cellStyle name="Millares 6 4 4 3 2" xfId="3003" xr:uid="{00000000-0005-0000-0000-00003C0C0000}"/>
    <cellStyle name="Millares 6 4 4 3 3" xfId="4440" xr:uid="{00000000-0005-0000-0000-00003D0C0000}"/>
    <cellStyle name="Millares 6 4 4 3 4" xfId="5877" xr:uid="{00000000-0005-0000-0000-00003E0C0000}"/>
    <cellStyle name="Millares 6 4 4 3 5" xfId="7323" xr:uid="{00000000-0005-0000-0000-00003F0C0000}"/>
    <cellStyle name="Millares 6 4 4 3 6" xfId="8764" xr:uid="{00000000-0005-0000-0000-0000400C0000}"/>
    <cellStyle name="Millares 6 4 4 3 7" xfId="10197" xr:uid="{00000000-0005-0000-0000-0000410C0000}"/>
    <cellStyle name="Millares 6 4 4 4" xfId="2002" xr:uid="{00000000-0005-0000-0000-0000420C0000}"/>
    <cellStyle name="Millares 6 4 4 5" xfId="3459" xr:uid="{00000000-0005-0000-0000-0000430C0000}"/>
    <cellStyle name="Millares 6 4 4 6" xfId="4896" xr:uid="{00000000-0005-0000-0000-0000440C0000}"/>
    <cellStyle name="Millares 6 4 4 7" xfId="6342" xr:uid="{00000000-0005-0000-0000-0000450C0000}"/>
    <cellStyle name="Millares 6 4 4 8" xfId="7780" xr:uid="{00000000-0005-0000-0000-0000460C0000}"/>
    <cellStyle name="Millares 6 4 4 9" xfId="9217" xr:uid="{00000000-0005-0000-0000-0000470C0000}"/>
    <cellStyle name="Millares 6 4 5" xfId="564" xr:uid="{00000000-0005-0000-0000-0000480C0000}"/>
    <cellStyle name="Millares 6 4 5 2" xfId="1043" xr:uid="{00000000-0005-0000-0000-0000490C0000}"/>
    <cellStyle name="Millares 6 4 5 2 2" xfId="2534" xr:uid="{00000000-0005-0000-0000-00004A0C0000}"/>
    <cellStyle name="Millares 6 4 5 2 3" xfId="3981" xr:uid="{00000000-0005-0000-0000-00004B0C0000}"/>
    <cellStyle name="Millares 6 4 5 2 4" xfId="5418" xr:uid="{00000000-0005-0000-0000-00004C0C0000}"/>
    <cellStyle name="Millares 6 4 5 2 5" xfId="6864" xr:uid="{00000000-0005-0000-0000-00004D0C0000}"/>
    <cellStyle name="Millares 6 4 5 2 6" xfId="8304" xr:uid="{00000000-0005-0000-0000-00004E0C0000}"/>
    <cellStyle name="Millares 6 4 5 2 7" xfId="9738" xr:uid="{00000000-0005-0000-0000-00004F0C0000}"/>
    <cellStyle name="Millares 6 4 5 3" xfId="1595" xr:uid="{00000000-0005-0000-0000-0000500C0000}"/>
    <cellStyle name="Millares 6 4 5 3 2" xfId="3068" xr:uid="{00000000-0005-0000-0000-0000510C0000}"/>
    <cellStyle name="Millares 6 4 5 3 3" xfId="4505" xr:uid="{00000000-0005-0000-0000-0000520C0000}"/>
    <cellStyle name="Millares 6 4 5 3 4" xfId="5942" xr:uid="{00000000-0005-0000-0000-0000530C0000}"/>
    <cellStyle name="Millares 6 4 5 3 5" xfId="7388" xr:uid="{00000000-0005-0000-0000-0000540C0000}"/>
    <cellStyle name="Millares 6 4 5 3 6" xfId="8829" xr:uid="{00000000-0005-0000-0000-0000550C0000}"/>
    <cellStyle name="Millares 6 4 5 3 7" xfId="10262" xr:uid="{00000000-0005-0000-0000-0000560C0000}"/>
    <cellStyle name="Millares 6 4 5 4" xfId="2067" xr:uid="{00000000-0005-0000-0000-0000570C0000}"/>
    <cellStyle name="Millares 6 4 5 5" xfId="3524" xr:uid="{00000000-0005-0000-0000-0000580C0000}"/>
    <cellStyle name="Millares 6 4 5 6" xfId="4961" xr:uid="{00000000-0005-0000-0000-0000590C0000}"/>
    <cellStyle name="Millares 6 4 5 7" xfId="6407" xr:uid="{00000000-0005-0000-0000-00005A0C0000}"/>
    <cellStyle name="Millares 6 4 5 8" xfId="7845" xr:uid="{00000000-0005-0000-0000-00005B0C0000}"/>
    <cellStyle name="Millares 6 4 5 9" xfId="9281" xr:uid="{00000000-0005-0000-0000-00005C0C0000}"/>
    <cellStyle name="Millares 6 4 6" xfId="706" xr:uid="{00000000-0005-0000-0000-00005D0C0000}"/>
    <cellStyle name="Millares 6 4 6 2" xfId="2197" xr:uid="{00000000-0005-0000-0000-00005E0C0000}"/>
    <cellStyle name="Millares 6 4 6 3" xfId="3654" xr:uid="{00000000-0005-0000-0000-00005F0C0000}"/>
    <cellStyle name="Millares 6 4 6 4" xfId="5091" xr:uid="{00000000-0005-0000-0000-0000600C0000}"/>
    <cellStyle name="Millares 6 4 6 5" xfId="6537" xr:uid="{00000000-0005-0000-0000-0000610C0000}"/>
    <cellStyle name="Millares 6 4 6 6" xfId="7976" xr:uid="{00000000-0005-0000-0000-0000620C0000}"/>
    <cellStyle name="Millares 6 4 6 7" xfId="9411" xr:uid="{00000000-0005-0000-0000-0000630C0000}"/>
    <cellStyle name="Millares 6 4 7" xfId="1197" xr:uid="{00000000-0005-0000-0000-0000640C0000}"/>
    <cellStyle name="Millares 6 4 7 2" xfId="2676" xr:uid="{00000000-0005-0000-0000-0000650C0000}"/>
    <cellStyle name="Millares 6 4 7 3" xfId="4113" xr:uid="{00000000-0005-0000-0000-0000660C0000}"/>
    <cellStyle name="Millares 6 4 7 4" xfId="5550" xr:uid="{00000000-0005-0000-0000-0000670C0000}"/>
    <cellStyle name="Millares 6 4 7 5" xfId="6996" xr:uid="{00000000-0005-0000-0000-0000680C0000}"/>
    <cellStyle name="Millares 6 4 7 6" xfId="8437" xr:uid="{00000000-0005-0000-0000-0000690C0000}"/>
    <cellStyle name="Millares 6 4 7 7" xfId="9870" xr:uid="{00000000-0005-0000-0000-00006A0C0000}"/>
    <cellStyle name="Millares 6 4 8" xfId="1262" xr:uid="{00000000-0005-0000-0000-00006B0C0000}"/>
    <cellStyle name="Millares 6 4 8 2" xfId="2741" xr:uid="{00000000-0005-0000-0000-00006C0C0000}"/>
    <cellStyle name="Millares 6 4 8 3" xfId="4178" xr:uid="{00000000-0005-0000-0000-00006D0C0000}"/>
    <cellStyle name="Millares 6 4 8 4" xfId="5615" xr:uid="{00000000-0005-0000-0000-00006E0C0000}"/>
    <cellStyle name="Millares 6 4 8 5" xfId="7061" xr:uid="{00000000-0005-0000-0000-00006F0C0000}"/>
    <cellStyle name="Millares 6 4 8 6" xfId="8502" xr:uid="{00000000-0005-0000-0000-0000700C0000}"/>
    <cellStyle name="Millares 6 4 8 7" xfId="9935" xr:uid="{00000000-0005-0000-0000-0000710C0000}"/>
    <cellStyle name="Millares 6 4 9" xfId="1740" xr:uid="{00000000-0005-0000-0000-0000720C0000}"/>
    <cellStyle name="Millares 6 5" xfId="260" xr:uid="{00000000-0005-0000-0000-0000730C0000}"/>
    <cellStyle name="Millares 6 5 10" xfId="7549" xr:uid="{00000000-0005-0000-0000-0000740C0000}"/>
    <cellStyle name="Millares 6 5 11" xfId="8988" xr:uid="{00000000-0005-0000-0000-0000750C0000}"/>
    <cellStyle name="Millares 6 5 2" xfId="395" xr:uid="{00000000-0005-0000-0000-0000760C0000}"/>
    <cellStyle name="Millares 6 5 2 2" xfId="877" xr:uid="{00000000-0005-0000-0000-0000770C0000}"/>
    <cellStyle name="Millares 6 5 2 2 2" xfId="2368" xr:uid="{00000000-0005-0000-0000-0000780C0000}"/>
    <cellStyle name="Millares 6 5 2 2 3" xfId="3815" xr:uid="{00000000-0005-0000-0000-0000790C0000}"/>
    <cellStyle name="Millares 6 5 2 2 4" xfId="5252" xr:uid="{00000000-0005-0000-0000-00007A0C0000}"/>
    <cellStyle name="Millares 6 5 2 2 5" xfId="6698" xr:uid="{00000000-0005-0000-0000-00007B0C0000}"/>
    <cellStyle name="Millares 6 5 2 2 6" xfId="8138" xr:uid="{00000000-0005-0000-0000-00007C0C0000}"/>
    <cellStyle name="Millares 6 5 2 2 7" xfId="9572" xr:uid="{00000000-0005-0000-0000-00007D0C0000}"/>
    <cellStyle name="Millares 6 5 2 3" xfId="1429" xr:uid="{00000000-0005-0000-0000-00007E0C0000}"/>
    <cellStyle name="Millares 6 5 2 3 2" xfId="2902" xr:uid="{00000000-0005-0000-0000-00007F0C0000}"/>
    <cellStyle name="Millares 6 5 2 3 3" xfId="4339" xr:uid="{00000000-0005-0000-0000-0000800C0000}"/>
    <cellStyle name="Millares 6 5 2 3 4" xfId="5776" xr:uid="{00000000-0005-0000-0000-0000810C0000}"/>
    <cellStyle name="Millares 6 5 2 3 5" xfId="7222" xr:uid="{00000000-0005-0000-0000-0000820C0000}"/>
    <cellStyle name="Millares 6 5 2 3 6" xfId="8663" xr:uid="{00000000-0005-0000-0000-0000830C0000}"/>
    <cellStyle name="Millares 6 5 2 3 7" xfId="10096" xr:uid="{00000000-0005-0000-0000-0000840C0000}"/>
    <cellStyle name="Millares 6 5 2 4" xfId="1901" xr:uid="{00000000-0005-0000-0000-0000850C0000}"/>
    <cellStyle name="Millares 6 5 2 5" xfId="3358" xr:uid="{00000000-0005-0000-0000-0000860C0000}"/>
    <cellStyle name="Millares 6 5 2 6" xfId="4795" xr:uid="{00000000-0005-0000-0000-0000870C0000}"/>
    <cellStyle name="Millares 6 5 2 7" xfId="6241" xr:uid="{00000000-0005-0000-0000-0000880C0000}"/>
    <cellStyle name="Millares 6 5 2 8" xfId="7679" xr:uid="{00000000-0005-0000-0000-0000890C0000}"/>
    <cellStyle name="Millares 6 5 2 9" xfId="9116" xr:uid="{00000000-0005-0000-0000-00008A0C0000}"/>
    <cellStyle name="Millares 6 5 3" xfId="599" xr:uid="{00000000-0005-0000-0000-00008B0C0000}"/>
    <cellStyle name="Millares 6 5 3 2" xfId="1078" xr:uid="{00000000-0005-0000-0000-00008C0C0000}"/>
    <cellStyle name="Millares 6 5 3 2 2" xfId="2569" xr:uid="{00000000-0005-0000-0000-00008D0C0000}"/>
    <cellStyle name="Millares 6 5 3 2 3" xfId="4012" xr:uid="{00000000-0005-0000-0000-00008E0C0000}"/>
    <cellStyle name="Millares 6 5 3 2 4" xfId="5449" xr:uid="{00000000-0005-0000-0000-00008F0C0000}"/>
    <cellStyle name="Millares 6 5 3 2 5" xfId="6895" xr:uid="{00000000-0005-0000-0000-0000900C0000}"/>
    <cellStyle name="Millares 6 5 3 2 6" xfId="8335" xr:uid="{00000000-0005-0000-0000-0000910C0000}"/>
    <cellStyle name="Millares 6 5 3 2 7" xfId="9769" xr:uid="{00000000-0005-0000-0000-0000920C0000}"/>
    <cellStyle name="Millares 6 5 3 3" xfId="1628" xr:uid="{00000000-0005-0000-0000-0000930C0000}"/>
    <cellStyle name="Millares 6 5 3 3 2" xfId="3099" xr:uid="{00000000-0005-0000-0000-0000940C0000}"/>
    <cellStyle name="Millares 6 5 3 3 3" xfId="4536" xr:uid="{00000000-0005-0000-0000-0000950C0000}"/>
    <cellStyle name="Millares 6 5 3 3 4" xfId="5973" xr:uid="{00000000-0005-0000-0000-0000960C0000}"/>
    <cellStyle name="Millares 6 5 3 3 5" xfId="7419" xr:uid="{00000000-0005-0000-0000-0000970C0000}"/>
    <cellStyle name="Millares 6 5 3 3 6" xfId="8860" xr:uid="{00000000-0005-0000-0000-0000980C0000}"/>
    <cellStyle name="Millares 6 5 3 3 7" xfId="10293" xr:uid="{00000000-0005-0000-0000-0000990C0000}"/>
    <cellStyle name="Millares 6 5 3 4" xfId="2098" xr:uid="{00000000-0005-0000-0000-00009A0C0000}"/>
    <cellStyle name="Millares 6 5 3 5" xfId="3555" xr:uid="{00000000-0005-0000-0000-00009B0C0000}"/>
    <cellStyle name="Millares 6 5 3 6" xfId="4992" xr:uid="{00000000-0005-0000-0000-00009C0C0000}"/>
    <cellStyle name="Millares 6 5 3 7" xfId="6438" xr:uid="{00000000-0005-0000-0000-00009D0C0000}"/>
    <cellStyle name="Millares 6 5 3 8" xfId="7877" xr:uid="{00000000-0005-0000-0000-00009E0C0000}"/>
    <cellStyle name="Millares 6 5 3 9" xfId="9312" xr:uid="{00000000-0005-0000-0000-00009F0C0000}"/>
    <cellStyle name="Millares 6 5 4" xfId="741" xr:uid="{00000000-0005-0000-0000-0000A00C0000}"/>
    <cellStyle name="Millares 6 5 4 2" xfId="2232" xr:uid="{00000000-0005-0000-0000-0000A10C0000}"/>
    <cellStyle name="Millares 6 5 4 3" xfId="3685" xr:uid="{00000000-0005-0000-0000-0000A20C0000}"/>
    <cellStyle name="Millares 6 5 4 4" xfId="5122" xr:uid="{00000000-0005-0000-0000-0000A30C0000}"/>
    <cellStyle name="Millares 6 5 4 5" xfId="6568" xr:uid="{00000000-0005-0000-0000-0000A40C0000}"/>
    <cellStyle name="Millares 6 5 4 6" xfId="8008" xr:uid="{00000000-0005-0000-0000-0000A50C0000}"/>
    <cellStyle name="Millares 6 5 4 7" xfId="9442" xr:uid="{00000000-0005-0000-0000-0000A60C0000}"/>
    <cellStyle name="Millares 6 5 5" xfId="1297" xr:uid="{00000000-0005-0000-0000-0000A70C0000}"/>
    <cellStyle name="Millares 6 5 5 2" xfId="2772" xr:uid="{00000000-0005-0000-0000-0000A80C0000}"/>
    <cellStyle name="Millares 6 5 5 3" xfId="4209" xr:uid="{00000000-0005-0000-0000-0000A90C0000}"/>
    <cellStyle name="Millares 6 5 5 4" xfId="5646" xr:uid="{00000000-0005-0000-0000-0000AA0C0000}"/>
    <cellStyle name="Millares 6 5 5 5" xfId="7092" xr:uid="{00000000-0005-0000-0000-0000AB0C0000}"/>
    <cellStyle name="Millares 6 5 5 6" xfId="8533" xr:uid="{00000000-0005-0000-0000-0000AC0C0000}"/>
    <cellStyle name="Millares 6 5 5 7" xfId="9966" xr:uid="{00000000-0005-0000-0000-0000AD0C0000}"/>
    <cellStyle name="Millares 6 5 6" xfId="1771" xr:uid="{00000000-0005-0000-0000-0000AE0C0000}"/>
    <cellStyle name="Millares 6 5 7" xfId="3228" xr:uid="{00000000-0005-0000-0000-0000AF0C0000}"/>
    <cellStyle name="Millares 6 5 8" xfId="4665" xr:uid="{00000000-0005-0000-0000-0000B00C0000}"/>
    <cellStyle name="Millares 6 5 9" xfId="6111" xr:uid="{00000000-0005-0000-0000-0000B10C0000}"/>
    <cellStyle name="Millares 6 6" xfId="326" xr:uid="{00000000-0005-0000-0000-0000B20C0000}"/>
    <cellStyle name="Millares 6 6 2" xfId="808" xr:uid="{00000000-0005-0000-0000-0000B30C0000}"/>
    <cellStyle name="Millares 6 6 2 2" xfId="2299" xr:uid="{00000000-0005-0000-0000-0000B40C0000}"/>
    <cellStyle name="Millares 6 6 2 3" xfId="3750" xr:uid="{00000000-0005-0000-0000-0000B50C0000}"/>
    <cellStyle name="Millares 6 6 2 4" xfId="5187" xr:uid="{00000000-0005-0000-0000-0000B60C0000}"/>
    <cellStyle name="Millares 6 6 2 5" xfId="6633" xr:uid="{00000000-0005-0000-0000-0000B70C0000}"/>
    <cellStyle name="Millares 6 6 2 6" xfId="8073" xr:uid="{00000000-0005-0000-0000-0000B80C0000}"/>
    <cellStyle name="Millares 6 6 2 7" xfId="9507" xr:uid="{00000000-0005-0000-0000-0000B90C0000}"/>
    <cellStyle name="Millares 6 6 3" xfId="1362" xr:uid="{00000000-0005-0000-0000-0000BA0C0000}"/>
    <cellStyle name="Millares 6 6 3 2" xfId="2837" xr:uid="{00000000-0005-0000-0000-0000BB0C0000}"/>
    <cellStyle name="Millares 6 6 3 3" xfId="4274" xr:uid="{00000000-0005-0000-0000-0000BC0C0000}"/>
    <cellStyle name="Millares 6 6 3 4" xfId="5711" xr:uid="{00000000-0005-0000-0000-0000BD0C0000}"/>
    <cellStyle name="Millares 6 6 3 5" xfId="7157" xr:uid="{00000000-0005-0000-0000-0000BE0C0000}"/>
    <cellStyle name="Millares 6 6 3 6" xfId="8598" xr:uid="{00000000-0005-0000-0000-0000BF0C0000}"/>
    <cellStyle name="Millares 6 6 3 7" xfId="10031" xr:uid="{00000000-0005-0000-0000-0000C00C0000}"/>
    <cellStyle name="Millares 6 6 4" xfId="1836" xr:uid="{00000000-0005-0000-0000-0000C10C0000}"/>
    <cellStyle name="Millares 6 6 5" xfId="3293" xr:uid="{00000000-0005-0000-0000-0000C20C0000}"/>
    <cellStyle name="Millares 6 6 6" xfId="4730" xr:uid="{00000000-0005-0000-0000-0000C30C0000}"/>
    <cellStyle name="Millares 6 6 7" xfId="6176" xr:uid="{00000000-0005-0000-0000-0000C40C0000}"/>
    <cellStyle name="Millares 6 6 8" xfId="7614" xr:uid="{00000000-0005-0000-0000-0000C50C0000}"/>
    <cellStyle name="Millares 6 6 9" xfId="9052" xr:uid="{00000000-0005-0000-0000-0000C60C0000}"/>
    <cellStyle name="Millares 6 7" xfId="460" xr:uid="{00000000-0005-0000-0000-0000C70C0000}"/>
    <cellStyle name="Millares 6 7 2" xfId="939" xr:uid="{00000000-0005-0000-0000-0000C80C0000}"/>
    <cellStyle name="Millares 6 7 2 2" xfId="2430" xr:uid="{00000000-0005-0000-0000-0000C90C0000}"/>
    <cellStyle name="Millares 6 7 2 3" xfId="3877" xr:uid="{00000000-0005-0000-0000-0000CA0C0000}"/>
    <cellStyle name="Millares 6 7 2 4" xfId="5314" xr:uid="{00000000-0005-0000-0000-0000CB0C0000}"/>
    <cellStyle name="Millares 6 7 2 5" xfId="6760" xr:uid="{00000000-0005-0000-0000-0000CC0C0000}"/>
    <cellStyle name="Millares 6 7 2 6" xfId="8200" xr:uid="{00000000-0005-0000-0000-0000CD0C0000}"/>
    <cellStyle name="Millares 6 7 2 7" xfId="9634" xr:uid="{00000000-0005-0000-0000-0000CE0C0000}"/>
    <cellStyle name="Millares 6 7 3" xfId="1491" xr:uid="{00000000-0005-0000-0000-0000CF0C0000}"/>
    <cellStyle name="Millares 6 7 3 2" xfId="2964" xr:uid="{00000000-0005-0000-0000-0000D00C0000}"/>
    <cellStyle name="Millares 6 7 3 3" xfId="4401" xr:uid="{00000000-0005-0000-0000-0000D10C0000}"/>
    <cellStyle name="Millares 6 7 3 4" xfId="5838" xr:uid="{00000000-0005-0000-0000-0000D20C0000}"/>
    <cellStyle name="Millares 6 7 3 5" xfId="7284" xr:uid="{00000000-0005-0000-0000-0000D30C0000}"/>
    <cellStyle name="Millares 6 7 3 6" xfId="8725" xr:uid="{00000000-0005-0000-0000-0000D40C0000}"/>
    <cellStyle name="Millares 6 7 3 7" xfId="10158" xr:uid="{00000000-0005-0000-0000-0000D50C0000}"/>
    <cellStyle name="Millares 6 7 4" xfId="1963" xr:uid="{00000000-0005-0000-0000-0000D60C0000}"/>
    <cellStyle name="Millares 6 7 5" xfId="3420" xr:uid="{00000000-0005-0000-0000-0000D70C0000}"/>
    <cellStyle name="Millares 6 7 6" xfId="4857" xr:uid="{00000000-0005-0000-0000-0000D80C0000}"/>
    <cellStyle name="Millares 6 7 7" xfId="6303" xr:uid="{00000000-0005-0000-0000-0000D90C0000}"/>
    <cellStyle name="Millares 6 7 8" xfId="7741" xr:uid="{00000000-0005-0000-0000-0000DA0C0000}"/>
    <cellStyle name="Millares 6 7 9" xfId="9178" xr:uid="{00000000-0005-0000-0000-0000DB0C0000}"/>
    <cellStyle name="Millares 6 8" xfId="530" xr:uid="{00000000-0005-0000-0000-0000DC0C0000}"/>
    <cellStyle name="Millares 6 8 2" xfId="1009" xr:uid="{00000000-0005-0000-0000-0000DD0C0000}"/>
    <cellStyle name="Millares 6 8 2 2" xfId="2500" xr:uid="{00000000-0005-0000-0000-0000DE0C0000}"/>
    <cellStyle name="Millares 6 8 2 3" xfId="3947" xr:uid="{00000000-0005-0000-0000-0000DF0C0000}"/>
    <cellStyle name="Millares 6 8 2 4" xfId="5384" xr:uid="{00000000-0005-0000-0000-0000E00C0000}"/>
    <cellStyle name="Millares 6 8 2 5" xfId="6830" xr:uid="{00000000-0005-0000-0000-0000E10C0000}"/>
    <cellStyle name="Millares 6 8 2 6" xfId="8270" xr:uid="{00000000-0005-0000-0000-0000E20C0000}"/>
    <cellStyle name="Millares 6 8 2 7" xfId="9704" xr:uid="{00000000-0005-0000-0000-0000E30C0000}"/>
    <cellStyle name="Millares 6 8 3" xfId="1561" xr:uid="{00000000-0005-0000-0000-0000E40C0000}"/>
    <cellStyle name="Millares 6 8 3 2" xfId="3034" xr:uid="{00000000-0005-0000-0000-0000E50C0000}"/>
    <cellStyle name="Millares 6 8 3 3" xfId="4471" xr:uid="{00000000-0005-0000-0000-0000E60C0000}"/>
    <cellStyle name="Millares 6 8 3 4" xfId="5908" xr:uid="{00000000-0005-0000-0000-0000E70C0000}"/>
    <cellStyle name="Millares 6 8 3 5" xfId="7354" xr:uid="{00000000-0005-0000-0000-0000E80C0000}"/>
    <cellStyle name="Millares 6 8 3 6" xfId="8795" xr:uid="{00000000-0005-0000-0000-0000E90C0000}"/>
    <cellStyle name="Millares 6 8 3 7" xfId="10228" xr:uid="{00000000-0005-0000-0000-0000EA0C0000}"/>
    <cellStyle name="Millares 6 8 4" xfId="2033" xr:uid="{00000000-0005-0000-0000-0000EB0C0000}"/>
    <cellStyle name="Millares 6 8 5" xfId="3490" xr:uid="{00000000-0005-0000-0000-0000EC0C0000}"/>
    <cellStyle name="Millares 6 8 6" xfId="4927" xr:uid="{00000000-0005-0000-0000-0000ED0C0000}"/>
    <cellStyle name="Millares 6 8 7" xfId="6373" xr:uid="{00000000-0005-0000-0000-0000EE0C0000}"/>
    <cellStyle name="Millares 6 8 8" xfId="7811" xr:uid="{00000000-0005-0000-0000-0000EF0C0000}"/>
    <cellStyle name="Millares 6 8 9" xfId="9248" xr:uid="{00000000-0005-0000-0000-0000F00C0000}"/>
    <cellStyle name="Millares 6 9" xfId="672" xr:uid="{00000000-0005-0000-0000-0000F10C0000}"/>
    <cellStyle name="Millares 6 9 2" xfId="2163" xr:uid="{00000000-0005-0000-0000-0000F20C0000}"/>
    <cellStyle name="Millares 6 9 3" xfId="3620" xr:uid="{00000000-0005-0000-0000-0000F30C0000}"/>
    <cellStyle name="Millares 6 9 4" xfId="5057" xr:uid="{00000000-0005-0000-0000-0000F40C0000}"/>
    <cellStyle name="Millares 6 9 5" xfId="6503" xr:uid="{00000000-0005-0000-0000-0000F50C0000}"/>
    <cellStyle name="Millares 6 9 6" xfId="7942" xr:uid="{00000000-0005-0000-0000-0000F60C0000}"/>
    <cellStyle name="Millares 6 9 7" xfId="9377" xr:uid="{00000000-0005-0000-0000-0000F70C0000}"/>
    <cellStyle name="Millares 7" xfId="31" xr:uid="{00000000-0005-0000-0000-0000F80C0000}"/>
    <cellStyle name="Millares 7 2" xfId="93" xr:uid="{00000000-0005-0000-0000-0000F90C0000}"/>
    <cellStyle name="Millares 7 2 2" xfId="192" xr:uid="{00000000-0005-0000-0000-0000FA0C0000}"/>
    <cellStyle name="Millares 7 3" xfId="141" xr:uid="{00000000-0005-0000-0000-0000FB0C0000}"/>
    <cellStyle name="Millares 8" xfId="10354" xr:uid="{00000000-0005-0000-0000-0000FC0C0000}"/>
    <cellStyle name="Millares 9" xfId="1" xr:uid="{00000000-0005-0000-0000-0000FD0C0000}"/>
    <cellStyle name="Moneda 2" xfId="2" xr:uid="{00000000-0005-0000-0000-0000FE0C0000}"/>
    <cellStyle name="Moneda 2 2" xfId="33" xr:uid="{00000000-0005-0000-0000-0000FF0C0000}"/>
    <cellStyle name="Moneda 2 2 2" xfId="94" xr:uid="{00000000-0005-0000-0000-0000000D0000}"/>
    <cellStyle name="Moneda 2 2 2 2" xfId="193" xr:uid="{00000000-0005-0000-0000-0000010D0000}"/>
    <cellStyle name="Moneda 2 2 3" xfId="142" xr:uid="{00000000-0005-0000-0000-0000020D0000}"/>
    <cellStyle name="Moneda 2 3" xfId="34" xr:uid="{00000000-0005-0000-0000-0000030D0000}"/>
    <cellStyle name="Moneda 2 3 2" xfId="95" xr:uid="{00000000-0005-0000-0000-0000040D0000}"/>
    <cellStyle name="Moneda 2 3 2 2" xfId="194" xr:uid="{00000000-0005-0000-0000-0000050D0000}"/>
    <cellStyle name="Moneda 2 3 3" xfId="143" xr:uid="{00000000-0005-0000-0000-0000060D0000}"/>
    <cellStyle name="Moneda 2 4" xfId="35" xr:uid="{00000000-0005-0000-0000-0000070D0000}"/>
    <cellStyle name="Moneda 2 4 2" xfId="96" xr:uid="{00000000-0005-0000-0000-0000080D0000}"/>
    <cellStyle name="Moneda 2 4 2 2" xfId="195" xr:uid="{00000000-0005-0000-0000-0000090D0000}"/>
    <cellStyle name="Moneda 2 4 3" xfId="144" xr:uid="{00000000-0005-0000-0000-00000A0D0000}"/>
    <cellStyle name="Moneda 2 5" xfId="36" xr:uid="{00000000-0005-0000-0000-00000B0D0000}"/>
    <cellStyle name="Moneda 2 5 2" xfId="97" xr:uid="{00000000-0005-0000-0000-00000C0D0000}"/>
    <cellStyle name="Moneda 2 5 2 2" xfId="196" xr:uid="{00000000-0005-0000-0000-00000D0D0000}"/>
    <cellStyle name="Moneda 2 5 3" xfId="145" xr:uid="{00000000-0005-0000-0000-00000E0D0000}"/>
    <cellStyle name="Moneda 2 6" xfId="37" xr:uid="{00000000-0005-0000-0000-00000F0D0000}"/>
    <cellStyle name="Moneda 2 6 2" xfId="98" xr:uid="{00000000-0005-0000-0000-0000100D0000}"/>
    <cellStyle name="Moneda 2 6 2 2" xfId="197" xr:uid="{00000000-0005-0000-0000-0000110D0000}"/>
    <cellStyle name="Moneda 2 6 3" xfId="146" xr:uid="{00000000-0005-0000-0000-0000120D0000}"/>
    <cellStyle name="Moneda 2 7" xfId="38" xr:uid="{00000000-0005-0000-0000-0000130D0000}"/>
    <cellStyle name="Moneda 2 7 2" xfId="99" xr:uid="{00000000-0005-0000-0000-0000140D0000}"/>
    <cellStyle name="Moneda 2 7 2 2" xfId="198" xr:uid="{00000000-0005-0000-0000-0000150D0000}"/>
    <cellStyle name="Moneda 2 7 3" xfId="147" xr:uid="{00000000-0005-0000-0000-0000160D0000}"/>
    <cellStyle name="Moneda 2 8" xfId="39" xr:uid="{00000000-0005-0000-0000-0000170D0000}"/>
    <cellStyle name="Moneda 2 8 2" xfId="100" xr:uid="{00000000-0005-0000-0000-0000180D0000}"/>
    <cellStyle name="Moneda 2 8 2 2" xfId="199" xr:uid="{00000000-0005-0000-0000-0000190D0000}"/>
    <cellStyle name="Moneda 2 8 3" xfId="148" xr:uid="{00000000-0005-0000-0000-00001A0D0000}"/>
    <cellStyle name="Moneda 2 9" xfId="32" xr:uid="{00000000-0005-0000-0000-00001B0D0000}"/>
    <cellStyle name="Moneda 3" xfId="40" xr:uid="{00000000-0005-0000-0000-00001C0D0000}"/>
    <cellStyle name="Moneda 3 2" xfId="101" xr:uid="{00000000-0005-0000-0000-00001D0D0000}"/>
    <cellStyle name="Moneda 3 2 2" xfId="200" xr:uid="{00000000-0005-0000-0000-00001E0D0000}"/>
    <cellStyle name="Moneda 3 3" xfId="149" xr:uid="{00000000-0005-0000-0000-00001F0D0000}"/>
    <cellStyle name="Moneda 4" xfId="41" xr:uid="{00000000-0005-0000-0000-0000200D0000}"/>
    <cellStyle name="Moneda 4 2" xfId="102" xr:uid="{00000000-0005-0000-0000-0000210D0000}"/>
    <cellStyle name="Moneda 4 2 2" xfId="201" xr:uid="{00000000-0005-0000-0000-0000220D0000}"/>
    <cellStyle name="Moneda 4 3" xfId="150" xr:uid="{00000000-0005-0000-0000-0000230D0000}"/>
    <cellStyle name="Neutral 2" xfId="42" xr:uid="{00000000-0005-0000-0000-0000240D0000}"/>
    <cellStyle name="Neutral 3" xfId="252" xr:uid="{00000000-0005-0000-0000-0000250D0000}"/>
    <cellStyle name="Normal" xfId="0" builtinId="0"/>
    <cellStyle name="Normal 10" xfId="43" xr:uid="{00000000-0005-0000-0000-0000270D0000}"/>
    <cellStyle name="Normal 10 2" xfId="44" xr:uid="{00000000-0005-0000-0000-0000280D0000}"/>
    <cellStyle name="Normal 10 2 2" xfId="103" xr:uid="{00000000-0005-0000-0000-0000290D0000}"/>
    <cellStyle name="Normal 10 2 2 2" xfId="202" xr:uid="{00000000-0005-0000-0000-00002A0D0000}"/>
    <cellStyle name="Normal 10 2 3" xfId="152" xr:uid="{00000000-0005-0000-0000-00002B0D0000}"/>
    <cellStyle name="Normal 10 3" xfId="151" xr:uid="{00000000-0005-0000-0000-00002C0D0000}"/>
    <cellStyle name="Normal 11" xfId="45" xr:uid="{00000000-0005-0000-0000-00002D0D0000}"/>
    <cellStyle name="Normal 11 10" xfId="1159" xr:uid="{00000000-0005-0000-0000-00002E0D0000}"/>
    <cellStyle name="Normal 11 10 2" xfId="2638" xr:uid="{00000000-0005-0000-0000-00002F0D0000}"/>
    <cellStyle name="Normal 11 10 3" xfId="4075" xr:uid="{00000000-0005-0000-0000-0000300D0000}"/>
    <cellStyle name="Normal 11 10 4" xfId="5512" xr:uid="{00000000-0005-0000-0000-0000310D0000}"/>
    <cellStyle name="Normal 11 10 5" xfId="6958" xr:uid="{00000000-0005-0000-0000-0000320D0000}"/>
    <cellStyle name="Normal 11 10 6" xfId="8399" xr:uid="{00000000-0005-0000-0000-0000330D0000}"/>
    <cellStyle name="Normal 11 10 7" xfId="9832" xr:uid="{00000000-0005-0000-0000-0000340D0000}"/>
    <cellStyle name="Normal 11 11" xfId="1227" xr:uid="{00000000-0005-0000-0000-0000350D0000}"/>
    <cellStyle name="Normal 11 11 2" xfId="2706" xr:uid="{00000000-0005-0000-0000-0000360D0000}"/>
    <cellStyle name="Normal 11 11 3" xfId="4143" xr:uid="{00000000-0005-0000-0000-0000370D0000}"/>
    <cellStyle name="Normal 11 11 4" xfId="5580" xr:uid="{00000000-0005-0000-0000-0000380D0000}"/>
    <cellStyle name="Normal 11 11 5" xfId="7026" xr:uid="{00000000-0005-0000-0000-0000390D0000}"/>
    <cellStyle name="Normal 11 11 6" xfId="8467" xr:uid="{00000000-0005-0000-0000-00003A0D0000}"/>
    <cellStyle name="Normal 11 11 7" xfId="9900" xr:uid="{00000000-0005-0000-0000-00003B0D0000}"/>
    <cellStyle name="Normal 11 12" xfId="1706" xr:uid="{00000000-0005-0000-0000-00003C0D0000}"/>
    <cellStyle name="Normal 11 13" xfId="3163" xr:uid="{00000000-0005-0000-0000-00003D0D0000}"/>
    <cellStyle name="Normal 11 14" xfId="4600" xr:uid="{00000000-0005-0000-0000-00003E0D0000}"/>
    <cellStyle name="Normal 11 15" xfId="6046" xr:uid="{00000000-0005-0000-0000-00003F0D0000}"/>
    <cellStyle name="Normal 11 16" xfId="7484" xr:uid="{00000000-0005-0000-0000-0000400D0000}"/>
    <cellStyle name="Normal 11 17" xfId="8924" xr:uid="{00000000-0005-0000-0000-0000410D0000}"/>
    <cellStyle name="Normal 11 2" xfId="121" xr:uid="{00000000-0005-0000-0000-0000420D0000}"/>
    <cellStyle name="Normal 11 2 10" xfId="1235" xr:uid="{00000000-0005-0000-0000-0000430D0000}"/>
    <cellStyle name="Normal 11 2 10 2" xfId="2714" xr:uid="{00000000-0005-0000-0000-0000440D0000}"/>
    <cellStyle name="Normal 11 2 10 3" xfId="4151" xr:uid="{00000000-0005-0000-0000-0000450D0000}"/>
    <cellStyle name="Normal 11 2 10 4" xfId="5588" xr:uid="{00000000-0005-0000-0000-0000460D0000}"/>
    <cellStyle name="Normal 11 2 10 5" xfId="7034" xr:uid="{00000000-0005-0000-0000-0000470D0000}"/>
    <cellStyle name="Normal 11 2 10 6" xfId="8475" xr:uid="{00000000-0005-0000-0000-0000480D0000}"/>
    <cellStyle name="Normal 11 2 10 7" xfId="9908" xr:uid="{00000000-0005-0000-0000-0000490D0000}"/>
    <cellStyle name="Normal 11 2 11" xfId="1714" xr:uid="{00000000-0005-0000-0000-00004A0D0000}"/>
    <cellStyle name="Normal 11 2 12" xfId="3171" xr:uid="{00000000-0005-0000-0000-00004B0D0000}"/>
    <cellStyle name="Normal 11 2 13" xfId="4608" xr:uid="{00000000-0005-0000-0000-00004C0D0000}"/>
    <cellStyle name="Normal 11 2 14" xfId="6054" xr:uid="{00000000-0005-0000-0000-00004D0D0000}"/>
    <cellStyle name="Normal 11 2 15" xfId="7492" xr:uid="{00000000-0005-0000-0000-00004E0D0000}"/>
    <cellStyle name="Normal 11 2 16" xfId="8932" xr:uid="{00000000-0005-0000-0000-00004F0D0000}"/>
    <cellStyle name="Normal 11 2 2" xfId="180" xr:uid="{00000000-0005-0000-0000-0000500D0000}"/>
    <cellStyle name="Normal 11 2 2 10" xfId="1731" xr:uid="{00000000-0005-0000-0000-0000510D0000}"/>
    <cellStyle name="Normal 11 2 2 11" xfId="3188" xr:uid="{00000000-0005-0000-0000-0000520D0000}"/>
    <cellStyle name="Normal 11 2 2 12" xfId="4625" xr:uid="{00000000-0005-0000-0000-0000530D0000}"/>
    <cellStyle name="Normal 11 2 2 13" xfId="6071" xr:uid="{00000000-0005-0000-0000-0000540D0000}"/>
    <cellStyle name="Normal 11 2 2 14" xfId="7509" xr:uid="{00000000-0005-0000-0000-0000550D0000}"/>
    <cellStyle name="Normal 11 2 2 15" xfId="8949" xr:uid="{00000000-0005-0000-0000-0000560D0000}"/>
    <cellStyle name="Normal 11 2 2 2" xfId="245" xr:uid="{00000000-0005-0000-0000-0000570D0000}"/>
    <cellStyle name="Normal 11 2 2 2 10" xfId="3219" xr:uid="{00000000-0005-0000-0000-0000580D0000}"/>
    <cellStyle name="Normal 11 2 2 2 11" xfId="4656" xr:uid="{00000000-0005-0000-0000-0000590D0000}"/>
    <cellStyle name="Normal 11 2 2 2 12" xfId="6102" xr:uid="{00000000-0005-0000-0000-00005A0D0000}"/>
    <cellStyle name="Normal 11 2 2 2 13" xfId="7540" xr:uid="{00000000-0005-0000-0000-00005B0D0000}"/>
    <cellStyle name="Normal 11 2 2 2 14" xfId="8980" xr:uid="{00000000-0005-0000-0000-00005C0D0000}"/>
    <cellStyle name="Normal 11 2 2 2 2" xfId="313" xr:uid="{00000000-0005-0000-0000-00005D0D0000}"/>
    <cellStyle name="Normal 11 2 2 2 2 10" xfId="7605" xr:uid="{00000000-0005-0000-0000-00005E0D0000}"/>
    <cellStyle name="Normal 11 2 2 2 2 11" xfId="9044" xr:uid="{00000000-0005-0000-0000-00005F0D0000}"/>
    <cellStyle name="Normal 11 2 2 2 2 2" xfId="451" xr:uid="{00000000-0005-0000-0000-0000600D0000}"/>
    <cellStyle name="Normal 11 2 2 2 2 2 2" xfId="933" xr:uid="{00000000-0005-0000-0000-0000610D0000}"/>
    <cellStyle name="Normal 11 2 2 2 2 2 2 2" xfId="2424" xr:uid="{00000000-0005-0000-0000-0000620D0000}"/>
    <cellStyle name="Normal 11 2 2 2 2 2 2 3" xfId="3871" xr:uid="{00000000-0005-0000-0000-0000630D0000}"/>
    <cellStyle name="Normal 11 2 2 2 2 2 2 4" xfId="5308" xr:uid="{00000000-0005-0000-0000-0000640D0000}"/>
    <cellStyle name="Normal 11 2 2 2 2 2 2 5" xfId="6754" xr:uid="{00000000-0005-0000-0000-0000650D0000}"/>
    <cellStyle name="Normal 11 2 2 2 2 2 2 6" xfId="8194" xr:uid="{00000000-0005-0000-0000-0000660D0000}"/>
    <cellStyle name="Normal 11 2 2 2 2 2 2 7" xfId="9628" xr:uid="{00000000-0005-0000-0000-0000670D0000}"/>
    <cellStyle name="Normal 11 2 2 2 2 2 3" xfId="1485" xr:uid="{00000000-0005-0000-0000-0000680D0000}"/>
    <cellStyle name="Normal 11 2 2 2 2 2 3 2" xfId="2958" xr:uid="{00000000-0005-0000-0000-0000690D0000}"/>
    <cellStyle name="Normal 11 2 2 2 2 2 3 3" xfId="4395" xr:uid="{00000000-0005-0000-0000-00006A0D0000}"/>
    <cellStyle name="Normal 11 2 2 2 2 2 3 4" xfId="5832" xr:uid="{00000000-0005-0000-0000-00006B0D0000}"/>
    <cellStyle name="Normal 11 2 2 2 2 2 3 5" xfId="7278" xr:uid="{00000000-0005-0000-0000-00006C0D0000}"/>
    <cellStyle name="Normal 11 2 2 2 2 2 3 6" xfId="8719" xr:uid="{00000000-0005-0000-0000-00006D0D0000}"/>
    <cellStyle name="Normal 11 2 2 2 2 2 3 7" xfId="10152" xr:uid="{00000000-0005-0000-0000-00006E0D0000}"/>
    <cellStyle name="Normal 11 2 2 2 2 2 4" xfId="1957" xr:uid="{00000000-0005-0000-0000-00006F0D0000}"/>
    <cellStyle name="Normal 11 2 2 2 2 2 5" xfId="3414" xr:uid="{00000000-0005-0000-0000-0000700D0000}"/>
    <cellStyle name="Normal 11 2 2 2 2 2 6" xfId="4851" xr:uid="{00000000-0005-0000-0000-0000710D0000}"/>
    <cellStyle name="Normal 11 2 2 2 2 2 7" xfId="6297" xr:uid="{00000000-0005-0000-0000-0000720D0000}"/>
    <cellStyle name="Normal 11 2 2 2 2 2 8" xfId="7735" xr:uid="{00000000-0005-0000-0000-0000730D0000}"/>
    <cellStyle name="Normal 11 2 2 2 2 2 9" xfId="9172" xr:uid="{00000000-0005-0000-0000-0000740D0000}"/>
    <cellStyle name="Normal 11 2 2 2 2 3" xfId="655" xr:uid="{00000000-0005-0000-0000-0000750D0000}"/>
    <cellStyle name="Normal 11 2 2 2 2 3 2" xfId="1134" xr:uid="{00000000-0005-0000-0000-0000760D0000}"/>
    <cellStyle name="Normal 11 2 2 2 2 3 2 2" xfId="2625" xr:uid="{00000000-0005-0000-0000-0000770D0000}"/>
    <cellStyle name="Normal 11 2 2 2 2 3 2 3" xfId="4068" xr:uid="{00000000-0005-0000-0000-0000780D0000}"/>
    <cellStyle name="Normal 11 2 2 2 2 3 2 4" xfId="5505" xr:uid="{00000000-0005-0000-0000-0000790D0000}"/>
    <cellStyle name="Normal 11 2 2 2 2 3 2 5" xfId="6951" xr:uid="{00000000-0005-0000-0000-00007A0D0000}"/>
    <cellStyle name="Normal 11 2 2 2 2 3 2 6" xfId="8391" xr:uid="{00000000-0005-0000-0000-00007B0D0000}"/>
    <cellStyle name="Normal 11 2 2 2 2 3 2 7" xfId="9825" xr:uid="{00000000-0005-0000-0000-00007C0D0000}"/>
    <cellStyle name="Normal 11 2 2 2 2 3 3" xfId="1684" xr:uid="{00000000-0005-0000-0000-00007D0D0000}"/>
    <cellStyle name="Normal 11 2 2 2 2 3 3 2" xfId="3155" xr:uid="{00000000-0005-0000-0000-00007E0D0000}"/>
    <cellStyle name="Normal 11 2 2 2 2 3 3 3" xfId="4592" xr:uid="{00000000-0005-0000-0000-00007F0D0000}"/>
    <cellStyle name="Normal 11 2 2 2 2 3 3 4" xfId="6029" xr:uid="{00000000-0005-0000-0000-0000800D0000}"/>
    <cellStyle name="Normal 11 2 2 2 2 3 3 5" xfId="7475" xr:uid="{00000000-0005-0000-0000-0000810D0000}"/>
    <cellStyle name="Normal 11 2 2 2 2 3 3 6" xfId="8916" xr:uid="{00000000-0005-0000-0000-0000820D0000}"/>
    <cellStyle name="Normal 11 2 2 2 2 3 3 7" xfId="10349" xr:uid="{00000000-0005-0000-0000-0000830D0000}"/>
    <cellStyle name="Normal 11 2 2 2 2 3 4" xfId="2154" xr:uid="{00000000-0005-0000-0000-0000840D0000}"/>
    <cellStyle name="Normal 11 2 2 2 2 3 5" xfId="3611" xr:uid="{00000000-0005-0000-0000-0000850D0000}"/>
    <cellStyle name="Normal 11 2 2 2 2 3 6" xfId="5048" xr:uid="{00000000-0005-0000-0000-0000860D0000}"/>
    <cellStyle name="Normal 11 2 2 2 2 3 7" xfId="6494" xr:uid="{00000000-0005-0000-0000-0000870D0000}"/>
    <cellStyle name="Normal 11 2 2 2 2 3 8" xfId="7933" xr:uid="{00000000-0005-0000-0000-0000880D0000}"/>
    <cellStyle name="Normal 11 2 2 2 2 3 9" xfId="9368" xr:uid="{00000000-0005-0000-0000-0000890D0000}"/>
    <cellStyle name="Normal 11 2 2 2 2 4" xfId="797" xr:uid="{00000000-0005-0000-0000-00008A0D0000}"/>
    <cellStyle name="Normal 11 2 2 2 2 4 2" xfId="2288" xr:uid="{00000000-0005-0000-0000-00008B0D0000}"/>
    <cellStyle name="Normal 11 2 2 2 2 4 3" xfId="3741" xr:uid="{00000000-0005-0000-0000-00008C0D0000}"/>
    <cellStyle name="Normal 11 2 2 2 2 4 4" xfId="5178" xr:uid="{00000000-0005-0000-0000-00008D0D0000}"/>
    <cellStyle name="Normal 11 2 2 2 2 4 5" xfId="6624" xr:uid="{00000000-0005-0000-0000-00008E0D0000}"/>
    <cellStyle name="Normal 11 2 2 2 2 4 6" xfId="8064" xr:uid="{00000000-0005-0000-0000-00008F0D0000}"/>
    <cellStyle name="Normal 11 2 2 2 2 4 7" xfId="9498" xr:uid="{00000000-0005-0000-0000-0000900D0000}"/>
    <cellStyle name="Normal 11 2 2 2 2 5" xfId="1353" xr:uid="{00000000-0005-0000-0000-0000910D0000}"/>
    <cellStyle name="Normal 11 2 2 2 2 5 2" xfId="2828" xr:uid="{00000000-0005-0000-0000-0000920D0000}"/>
    <cellStyle name="Normal 11 2 2 2 2 5 3" xfId="4265" xr:uid="{00000000-0005-0000-0000-0000930D0000}"/>
    <cellStyle name="Normal 11 2 2 2 2 5 4" xfId="5702" xr:uid="{00000000-0005-0000-0000-0000940D0000}"/>
    <cellStyle name="Normal 11 2 2 2 2 5 5" xfId="7148" xr:uid="{00000000-0005-0000-0000-0000950D0000}"/>
    <cellStyle name="Normal 11 2 2 2 2 5 6" xfId="8589" xr:uid="{00000000-0005-0000-0000-0000960D0000}"/>
    <cellStyle name="Normal 11 2 2 2 2 5 7" xfId="10022" xr:uid="{00000000-0005-0000-0000-0000970D0000}"/>
    <cellStyle name="Normal 11 2 2 2 2 6" xfId="1827" xr:uid="{00000000-0005-0000-0000-0000980D0000}"/>
    <cellStyle name="Normal 11 2 2 2 2 7" xfId="3284" xr:uid="{00000000-0005-0000-0000-0000990D0000}"/>
    <cellStyle name="Normal 11 2 2 2 2 8" xfId="4721" xr:uid="{00000000-0005-0000-0000-00009A0D0000}"/>
    <cellStyle name="Normal 11 2 2 2 2 9" xfId="6167" xr:uid="{00000000-0005-0000-0000-00009B0D0000}"/>
    <cellStyle name="Normal 11 2 2 2 3" xfId="382" xr:uid="{00000000-0005-0000-0000-00009C0D0000}"/>
    <cellStyle name="Normal 11 2 2 2 3 2" xfId="864" xr:uid="{00000000-0005-0000-0000-00009D0D0000}"/>
    <cellStyle name="Normal 11 2 2 2 3 2 2" xfId="2355" xr:uid="{00000000-0005-0000-0000-00009E0D0000}"/>
    <cellStyle name="Normal 11 2 2 2 3 2 3" xfId="3806" xr:uid="{00000000-0005-0000-0000-00009F0D0000}"/>
    <cellStyle name="Normal 11 2 2 2 3 2 4" xfId="5243" xr:uid="{00000000-0005-0000-0000-0000A00D0000}"/>
    <cellStyle name="Normal 11 2 2 2 3 2 5" xfId="6689" xr:uid="{00000000-0005-0000-0000-0000A10D0000}"/>
    <cellStyle name="Normal 11 2 2 2 3 2 6" xfId="8129" xr:uid="{00000000-0005-0000-0000-0000A20D0000}"/>
    <cellStyle name="Normal 11 2 2 2 3 2 7" xfId="9563" xr:uid="{00000000-0005-0000-0000-0000A30D0000}"/>
    <cellStyle name="Normal 11 2 2 2 3 3" xfId="1418" xr:uid="{00000000-0005-0000-0000-0000A40D0000}"/>
    <cellStyle name="Normal 11 2 2 2 3 3 2" xfId="2893" xr:uid="{00000000-0005-0000-0000-0000A50D0000}"/>
    <cellStyle name="Normal 11 2 2 2 3 3 3" xfId="4330" xr:uid="{00000000-0005-0000-0000-0000A60D0000}"/>
    <cellStyle name="Normal 11 2 2 2 3 3 4" xfId="5767" xr:uid="{00000000-0005-0000-0000-0000A70D0000}"/>
    <cellStyle name="Normal 11 2 2 2 3 3 5" xfId="7213" xr:uid="{00000000-0005-0000-0000-0000A80D0000}"/>
    <cellStyle name="Normal 11 2 2 2 3 3 6" xfId="8654" xr:uid="{00000000-0005-0000-0000-0000A90D0000}"/>
    <cellStyle name="Normal 11 2 2 2 3 3 7" xfId="10087" xr:uid="{00000000-0005-0000-0000-0000AA0D0000}"/>
    <cellStyle name="Normal 11 2 2 2 3 4" xfId="1892" xr:uid="{00000000-0005-0000-0000-0000AB0D0000}"/>
    <cellStyle name="Normal 11 2 2 2 3 5" xfId="3349" xr:uid="{00000000-0005-0000-0000-0000AC0D0000}"/>
    <cellStyle name="Normal 11 2 2 2 3 6" xfId="4786" xr:uid="{00000000-0005-0000-0000-0000AD0D0000}"/>
    <cellStyle name="Normal 11 2 2 2 3 7" xfId="6232" xr:uid="{00000000-0005-0000-0000-0000AE0D0000}"/>
    <cellStyle name="Normal 11 2 2 2 3 8" xfId="7670" xr:uid="{00000000-0005-0000-0000-0000AF0D0000}"/>
    <cellStyle name="Normal 11 2 2 2 3 9" xfId="9107" xr:uid="{00000000-0005-0000-0000-0000B00D0000}"/>
    <cellStyle name="Normal 11 2 2 2 4" xfId="521" xr:uid="{00000000-0005-0000-0000-0000B10D0000}"/>
    <cellStyle name="Normal 11 2 2 2 4 2" xfId="1000" xr:uid="{00000000-0005-0000-0000-0000B20D0000}"/>
    <cellStyle name="Normal 11 2 2 2 4 2 2" xfId="2491" xr:uid="{00000000-0005-0000-0000-0000B30D0000}"/>
    <cellStyle name="Normal 11 2 2 2 4 2 3" xfId="3938" xr:uid="{00000000-0005-0000-0000-0000B40D0000}"/>
    <cellStyle name="Normal 11 2 2 2 4 2 4" xfId="5375" xr:uid="{00000000-0005-0000-0000-0000B50D0000}"/>
    <cellStyle name="Normal 11 2 2 2 4 2 5" xfId="6821" xr:uid="{00000000-0005-0000-0000-0000B60D0000}"/>
    <cellStyle name="Normal 11 2 2 2 4 2 6" xfId="8261" xr:uid="{00000000-0005-0000-0000-0000B70D0000}"/>
    <cellStyle name="Normal 11 2 2 2 4 2 7" xfId="9695" xr:uid="{00000000-0005-0000-0000-0000B80D0000}"/>
    <cellStyle name="Normal 11 2 2 2 4 3" xfId="1552" xr:uid="{00000000-0005-0000-0000-0000B90D0000}"/>
    <cellStyle name="Normal 11 2 2 2 4 3 2" xfId="3025" xr:uid="{00000000-0005-0000-0000-0000BA0D0000}"/>
    <cellStyle name="Normal 11 2 2 2 4 3 3" xfId="4462" xr:uid="{00000000-0005-0000-0000-0000BB0D0000}"/>
    <cellStyle name="Normal 11 2 2 2 4 3 4" xfId="5899" xr:uid="{00000000-0005-0000-0000-0000BC0D0000}"/>
    <cellStyle name="Normal 11 2 2 2 4 3 5" xfId="7345" xr:uid="{00000000-0005-0000-0000-0000BD0D0000}"/>
    <cellStyle name="Normal 11 2 2 2 4 3 6" xfId="8786" xr:uid="{00000000-0005-0000-0000-0000BE0D0000}"/>
    <cellStyle name="Normal 11 2 2 2 4 3 7" xfId="10219" xr:uid="{00000000-0005-0000-0000-0000BF0D0000}"/>
    <cellStyle name="Normal 11 2 2 2 4 4" xfId="2024" xr:uid="{00000000-0005-0000-0000-0000C00D0000}"/>
    <cellStyle name="Normal 11 2 2 2 4 5" xfId="3481" xr:uid="{00000000-0005-0000-0000-0000C10D0000}"/>
    <cellStyle name="Normal 11 2 2 2 4 6" xfId="4918" xr:uid="{00000000-0005-0000-0000-0000C20D0000}"/>
    <cellStyle name="Normal 11 2 2 2 4 7" xfId="6364" xr:uid="{00000000-0005-0000-0000-0000C30D0000}"/>
    <cellStyle name="Normal 11 2 2 2 4 8" xfId="7802" xr:uid="{00000000-0005-0000-0000-0000C40D0000}"/>
    <cellStyle name="Normal 11 2 2 2 4 9" xfId="9239" xr:uid="{00000000-0005-0000-0000-0000C50D0000}"/>
    <cellStyle name="Normal 11 2 2 2 5" xfId="586" xr:uid="{00000000-0005-0000-0000-0000C60D0000}"/>
    <cellStyle name="Normal 11 2 2 2 5 2" xfId="1065" xr:uid="{00000000-0005-0000-0000-0000C70D0000}"/>
    <cellStyle name="Normal 11 2 2 2 5 2 2" xfId="2556" xr:uid="{00000000-0005-0000-0000-0000C80D0000}"/>
    <cellStyle name="Normal 11 2 2 2 5 2 3" xfId="4003" xr:uid="{00000000-0005-0000-0000-0000C90D0000}"/>
    <cellStyle name="Normal 11 2 2 2 5 2 4" xfId="5440" xr:uid="{00000000-0005-0000-0000-0000CA0D0000}"/>
    <cellStyle name="Normal 11 2 2 2 5 2 5" xfId="6886" xr:uid="{00000000-0005-0000-0000-0000CB0D0000}"/>
    <cellStyle name="Normal 11 2 2 2 5 2 6" xfId="8326" xr:uid="{00000000-0005-0000-0000-0000CC0D0000}"/>
    <cellStyle name="Normal 11 2 2 2 5 2 7" xfId="9760" xr:uid="{00000000-0005-0000-0000-0000CD0D0000}"/>
    <cellStyle name="Normal 11 2 2 2 5 3" xfId="1617" xr:uid="{00000000-0005-0000-0000-0000CE0D0000}"/>
    <cellStyle name="Normal 11 2 2 2 5 3 2" xfId="3090" xr:uid="{00000000-0005-0000-0000-0000CF0D0000}"/>
    <cellStyle name="Normal 11 2 2 2 5 3 3" xfId="4527" xr:uid="{00000000-0005-0000-0000-0000D00D0000}"/>
    <cellStyle name="Normal 11 2 2 2 5 3 4" xfId="5964" xr:uid="{00000000-0005-0000-0000-0000D10D0000}"/>
    <cellStyle name="Normal 11 2 2 2 5 3 5" xfId="7410" xr:uid="{00000000-0005-0000-0000-0000D20D0000}"/>
    <cellStyle name="Normal 11 2 2 2 5 3 6" xfId="8851" xr:uid="{00000000-0005-0000-0000-0000D30D0000}"/>
    <cellStyle name="Normal 11 2 2 2 5 3 7" xfId="10284" xr:uid="{00000000-0005-0000-0000-0000D40D0000}"/>
    <cellStyle name="Normal 11 2 2 2 5 4" xfId="2089" xr:uid="{00000000-0005-0000-0000-0000D50D0000}"/>
    <cellStyle name="Normal 11 2 2 2 5 5" xfId="3546" xr:uid="{00000000-0005-0000-0000-0000D60D0000}"/>
    <cellStyle name="Normal 11 2 2 2 5 6" xfId="4983" xr:uid="{00000000-0005-0000-0000-0000D70D0000}"/>
    <cellStyle name="Normal 11 2 2 2 5 7" xfId="6429" xr:uid="{00000000-0005-0000-0000-0000D80D0000}"/>
    <cellStyle name="Normal 11 2 2 2 5 8" xfId="7867" xr:uid="{00000000-0005-0000-0000-0000D90D0000}"/>
    <cellStyle name="Normal 11 2 2 2 5 9" xfId="9303" xr:uid="{00000000-0005-0000-0000-0000DA0D0000}"/>
    <cellStyle name="Normal 11 2 2 2 6" xfId="728" xr:uid="{00000000-0005-0000-0000-0000DB0D0000}"/>
    <cellStyle name="Normal 11 2 2 2 6 2" xfId="2219" xr:uid="{00000000-0005-0000-0000-0000DC0D0000}"/>
    <cellStyle name="Normal 11 2 2 2 6 3" xfId="3676" xr:uid="{00000000-0005-0000-0000-0000DD0D0000}"/>
    <cellStyle name="Normal 11 2 2 2 6 4" xfId="5113" xr:uid="{00000000-0005-0000-0000-0000DE0D0000}"/>
    <cellStyle name="Normal 11 2 2 2 6 5" xfId="6559" xr:uid="{00000000-0005-0000-0000-0000DF0D0000}"/>
    <cellStyle name="Normal 11 2 2 2 6 6" xfId="7998" xr:uid="{00000000-0005-0000-0000-0000E00D0000}"/>
    <cellStyle name="Normal 11 2 2 2 6 7" xfId="9433" xr:uid="{00000000-0005-0000-0000-0000E10D0000}"/>
    <cellStyle name="Normal 11 2 2 2 7" xfId="1219" xr:uid="{00000000-0005-0000-0000-0000E20D0000}"/>
    <cellStyle name="Normal 11 2 2 2 7 2" xfId="2698" xr:uid="{00000000-0005-0000-0000-0000E30D0000}"/>
    <cellStyle name="Normal 11 2 2 2 7 3" xfId="4135" xr:uid="{00000000-0005-0000-0000-0000E40D0000}"/>
    <cellStyle name="Normal 11 2 2 2 7 4" xfId="5572" xr:uid="{00000000-0005-0000-0000-0000E50D0000}"/>
    <cellStyle name="Normal 11 2 2 2 7 5" xfId="7018" xr:uid="{00000000-0005-0000-0000-0000E60D0000}"/>
    <cellStyle name="Normal 11 2 2 2 7 6" xfId="8459" xr:uid="{00000000-0005-0000-0000-0000E70D0000}"/>
    <cellStyle name="Normal 11 2 2 2 7 7" xfId="9892" xr:uid="{00000000-0005-0000-0000-0000E80D0000}"/>
    <cellStyle name="Normal 11 2 2 2 8" xfId="1284" xr:uid="{00000000-0005-0000-0000-0000E90D0000}"/>
    <cellStyle name="Normal 11 2 2 2 8 2" xfId="2763" xr:uid="{00000000-0005-0000-0000-0000EA0D0000}"/>
    <cellStyle name="Normal 11 2 2 2 8 3" xfId="4200" xr:uid="{00000000-0005-0000-0000-0000EB0D0000}"/>
    <cellStyle name="Normal 11 2 2 2 8 4" xfId="5637" xr:uid="{00000000-0005-0000-0000-0000EC0D0000}"/>
    <cellStyle name="Normal 11 2 2 2 8 5" xfId="7083" xr:uid="{00000000-0005-0000-0000-0000ED0D0000}"/>
    <cellStyle name="Normal 11 2 2 2 8 6" xfId="8524" xr:uid="{00000000-0005-0000-0000-0000EE0D0000}"/>
    <cellStyle name="Normal 11 2 2 2 8 7" xfId="9957" xr:uid="{00000000-0005-0000-0000-0000EF0D0000}"/>
    <cellStyle name="Normal 11 2 2 2 9" xfId="1762" xr:uid="{00000000-0005-0000-0000-0000F00D0000}"/>
    <cellStyle name="Normal 11 2 2 3" xfId="282" xr:uid="{00000000-0005-0000-0000-0000F10D0000}"/>
    <cellStyle name="Normal 11 2 2 3 10" xfId="7574" xr:uid="{00000000-0005-0000-0000-0000F20D0000}"/>
    <cellStyle name="Normal 11 2 2 3 11" xfId="9013" xr:uid="{00000000-0005-0000-0000-0000F30D0000}"/>
    <cellStyle name="Normal 11 2 2 3 2" xfId="420" xr:uid="{00000000-0005-0000-0000-0000F40D0000}"/>
    <cellStyle name="Normal 11 2 2 3 2 2" xfId="902" xr:uid="{00000000-0005-0000-0000-0000F50D0000}"/>
    <cellStyle name="Normal 11 2 2 3 2 2 2" xfId="2393" xr:uid="{00000000-0005-0000-0000-0000F60D0000}"/>
    <cellStyle name="Normal 11 2 2 3 2 2 3" xfId="3840" xr:uid="{00000000-0005-0000-0000-0000F70D0000}"/>
    <cellStyle name="Normal 11 2 2 3 2 2 4" xfId="5277" xr:uid="{00000000-0005-0000-0000-0000F80D0000}"/>
    <cellStyle name="Normal 11 2 2 3 2 2 5" xfId="6723" xr:uid="{00000000-0005-0000-0000-0000F90D0000}"/>
    <cellStyle name="Normal 11 2 2 3 2 2 6" xfId="8163" xr:uid="{00000000-0005-0000-0000-0000FA0D0000}"/>
    <cellStyle name="Normal 11 2 2 3 2 2 7" xfId="9597" xr:uid="{00000000-0005-0000-0000-0000FB0D0000}"/>
    <cellStyle name="Normal 11 2 2 3 2 3" xfId="1454" xr:uid="{00000000-0005-0000-0000-0000FC0D0000}"/>
    <cellStyle name="Normal 11 2 2 3 2 3 2" xfId="2927" xr:uid="{00000000-0005-0000-0000-0000FD0D0000}"/>
    <cellStyle name="Normal 11 2 2 3 2 3 3" xfId="4364" xr:uid="{00000000-0005-0000-0000-0000FE0D0000}"/>
    <cellStyle name="Normal 11 2 2 3 2 3 4" xfId="5801" xr:uid="{00000000-0005-0000-0000-0000FF0D0000}"/>
    <cellStyle name="Normal 11 2 2 3 2 3 5" xfId="7247" xr:uid="{00000000-0005-0000-0000-0000000E0000}"/>
    <cellStyle name="Normal 11 2 2 3 2 3 6" xfId="8688" xr:uid="{00000000-0005-0000-0000-0000010E0000}"/>
    <cellStyle name="Normal 11 2 2 3 2 3 7" xfId="10121" xr:uid="{00000000-0005-0000-0000-0000020E0000}"/>
    <cellStyle name="Normal 11 2 2 3 2 4" xfId="1926" xr:uid="{00000000-0005-0000-0000-0000030E0000}"/>
    <cellStyle name="Normal 11 2 2 3 2 5" xfId="3383" xr:uid="{00000000-0005-0000-0000-0000040E0000}"/>
    <cellStyle name="Normal 11 2 2 3 2 6" xfId="4820" xr:uid="{00000000-0005-0000-0000-0000050E0000}"/>
    <cellStyle name="Normal 11 2 2 3 2 7" xfId="6266" xr:uid="{00000000-0005-0000-0000-0000060E0000}"/>
    <cellStyle name="Normal 11 2 2 3 2 8" xfId="7704" xr:uid="{00000000-0005-0000-0000-0000070E0000}"/>
    <cellStyle name="Normal 11 2 2 3 2 9" xfId="9141" xr:uid="{00000000-0005-0000-0000-0000080E0000}"/>
    <cellStyle name="Normal 11 2 2 3 3" xfId="624" xr:uid="{00000000-0005-0000-0000-0000090E0000}"/>
    <cellStyle name="Normal 11 2 2 3 3 2" xfId="1103" xr:uid="{00000000-0005-0000-0000-00000A0E0000}"/>
    <cellStyle name="Normal 11 2 2 3 3 2 2" xfId="2594" xr:uid="{00000000-0005-0000-0000-00000B0E0000}"/>
    <cellStyle name="Normal 11 2 2 3 3 2 3" xfId="4037" xr:uid="{00000000-0005-0000-0000-00000C0E0000}"/>
    <cellStyle name="Normal 11 2 2 3 3 2 4" xfId="5474" xr:uid="{00000000-0005-0000-0000-00000D0E0000}"/>
    <cellStyle name="Normal 11 2 2 3 3 2 5" xfId="6920" xr:uid="{00000000-0005-0000-0000-00000E0E0000}"/>
    <cellStyle name="Normal 11 2 2 3 3 2 6" xfId="8360" xr:uid="{00000000-0005-0000-0000-00000F0E0000}"/>
    <cellStyle name="Normal 11 2 2 3 3 2 7" xfId="9794" xr:uid="{00000000-0005-0000-0000-0000100E0000}"/>
    <cellStyle name="Normal 11 2 2 3 3 3" xfId="1653" xr:uid="{00000000-0005-0000-0000-0000110E0000}"/>
    <cellStyle name="Normal 11 2 2 3 3 3 2" xfId="3124" xr:uid="{00000000-0005-0000-0000-0000120E0000}"/>
    <cellStyle name="Normal 11 2 2 3 3 3 3" xfId="4561" xr:uid="{00000000-0005-0000-0000-0000130E0000}"/>
    <cellStyle name="Normal 11 2 2 3 3 3 4" xfId="5998" xr:uid="{00000000-0005-0000-0000-0000140E0000}"/>
    <cellStyle name="Normal 11 2 2 3 3 3 5" xfId="7444" xr:uid="{00000000-0005-0000-0000-0000150E0000}"/>
    <cellStyle name="Normal 11 2 2 3 3 3 6" xfId="8885" xr:uid="{00000000-0005-0000-0000-0000160E0000}"/>
    <cellStyle name="Normal 11 2 2 3 3 3 7" xfId="10318" xr:uid="{00000000-0005-0000-0000-0000170E0000}"/>
    <cellStyle name="Normal 11 2 2 3 3 4" xfId="2123" xr:uid="{00000000-0005-0000-0000-0000180E0000}"/>
    <cellStyle name="Normal 11 2 2 3 3 5" xfId="3580" xr:uid="{00000000-0005-0000-0000-0000190E0000}"/>
    <cellStyle name="Normal 11 2 2 3 3 6" xfId="5017" xr:uid="{00000000-0005-0000-0000-00001A0E0000}"/>
    <cellStyle name="Normal 11 2 2 3 3 7" xfId="6463" xr:uid="{00000000-0005-0000-0000-00001B0E0000}"/>
    <cellStyle name="Normal 11 2 2 3 3 8" xfId="7902" xr:uid="{00000000-0005-0000-0000-00001C0E0000}"/>
    <cellStyle name="Normal 11 2 2 3 3 9" xfId="9337" xr:uid="{00000000-0005-0000-0000-00001D0E0000}"/>
    <cellStyle name="Normal 11 2 2 3 4" xfId="766" xr:uid="{00000000-0005-0000-0000-00001E0E0000}"/>
    <cellStyle name="Normal 11 2 2 3 4 2" xfId="2257" xr:uid="{00000000-0005-0000-0000-00001F0E0000}"/>
    <cellStyle name="Normal 11 2 2 3 4 3" xfId="3710" xr:uid="{00000000-0005-0000-0000-0000200E0000}"/>
    <cellStyle name="Normal 11 2 2 3 4 4" xfId="5147" xr:uid="{00000000-0005-0000-0000-0000210E0000}"/>
    <cellStyle name="Normal 11 2 2 3 4 5" xfId="6593" xr:uid="{00000000-0005-0000-0000-0000220E0000}"/>
    <cellStyle name="Normal 11 2 2 3 4 6" xfId="8033" xr:uid="{00000000-0005-0000-0000-0000230E0000}"/>
    <cellStyle name="Normal 11 2 2 3 4 7" xfId="9467" xr:uid="{00000000-0005-0000-0000-0000240E0000}"/>
    <cellStyle name="Normal 11 2 2 3 5" xfId="1322" xr:uid="{00000000-0005-0000-0000-0000250E0000}"/>
    <cellStyle name="Normal 11 2 2 3 5 2" xfId="2797" xr:uid="{00000000-0005-0000-0000-0000260E0000}"/>
    <cellStyle name="Normal 11 2 2 3 5 3" xfId="4234" xr:uid="{00000000-0005-0000-0000-0000270E0000}"/>
    <cellStyle name="Normal 11 2 2 3 5 4" xfId="5671" xr:uid="{00000000-0005-0000-0000-0000280E0000}"/>
    <cellStyle name="Normal 11 2 2 3 5 5" xfId="7117" xr:uid="{00000000-0005-0000-0000-0000290E0000}"/>
    <cellStyle name="Normal 11 2 2 3 5 6" xfId="8558" xr:uid="{00000000-0005-0000-0000-00002A0E0000}"/>
    <cellStyle name="Normal 11 2 2 3 5 7" xfId="9991" xr:uid="{00000000-0005-0000-0000-00002B0E0000}"/>
    <cellStyle name="Normal 11 2 2 3 6" xfId="1796" xr:uid="{00000000-0005-0000-0000-00002C0E0000}"/>
    <cellStyle name="Normal 11 2 2 3 7" xfId="3253" xr:uid="{00000000-0005-0000-0000-00002D0E0000}"/>
    <cellStyle name="Normal 11 2 2 3 8" xfId="4690" xr:uid="{00000000-0005-0000-0000-00002E0E0000}"/>
    <cellStyle name="Normal 11 2 2 3 9" xfId="6136" xr:uid="{00000000-0005-0000-0000-00002F0E0000}"/>
    <cellStyle name="Normal 11 2 2 4" xfId="351" xr:uid="{00000000-0005-0000-0000-0000300E0000}"/>
    <cellStyle name="Normal 11 2 2 4 2" xfId="833" xr:uid="{00000000-0005-0000-0000-0000310E0000}"/>
    <cellStyle name="Normal 11 2 2 4 2 2" xfId="2324" xr:uid="{00000000-0005-0000-0000-0000320E0000}"/>
    <cellStyle name="Normal 11 2 2 4 2 3" xfId="3775" xr:uid="{00000000-0005-0000-0000-0000330E0000}"/>
    <cellStyle name="Normal 11 2 2 4 2 4" xfId="5212" xr:uid="{00000000-0005-0000-0000-0000340E0000}"/>
    <cellStyle name="Normal 11 2 2 4 2 5" xfId="6658" xr:uid="{00000000-0005-0000-0000-0000350E0000}"/>
    <cellStyle name="Normal 11 2 2 4 2 6" xfId="8098" xr:uid="{00000000-0005-0000-0000-0000360E0000}"/>
    <cellStyle name="Normal 11 2 2 4 2 7" xfId="9532" xr:uid="{00000000-0005-0000-0000-0000370E0000}"/>
    <cellStyle name="Normal 11 2 2 4 3" xfId="1387" xr:uid="{00000000-0005-0000-0000-0000380E0000}"/>
    <cellStyle name="Normal 11 2 2 4 3 2" xfId="2862" xr:uid="{00000000-0005-0000-0000-0000390E0000}"/>
    <cellStyle name="Normal 11 2 2 4 3 3" xfId="4299" xr:uid="{00000000-0005-0000-0000-00003A0E0000}"/>
    <cellStyle name="Normal 11 2 2 4 3 4" xfId="5736" xr:uid="{00000000-0005-0000-0000-00003B0E0000}"/>
    <cellStyle name="Normal 11 2 2 4 3 5" xfId="7182" xr:uid="{00000000-0005-0000-0000-00003C0E0000}"/>
    <cellStyle name="Normal 11 2 2 4 3 6" xfId="8623" xr:uid="{00000000-0005-0000-0000-00003D0E0000}"/>
    <cellStyle name="Normal 11 2 2 4 3 7" xfId="10056" xr:uid="{00000000-0005-0000-0000-00003E0E0000}"/>
    <cellStyle name="Normal 11 2 2 4 4" xfId="1861" xr:uid="{00000000-0005-0000-0000-00003F0E0000}"/>
    <cellStyle name="Normal 11 2 2 4 5" xfId="3318" xr:uid="{00000000-0005-0000-0000-0000400E0000}"/>
    <cellStyle name="Normal 11 2 2 4 6" xfId="4755" xr:uid="{00000000-0005-0000-0000-0000410E0000}"/>
    <cellStyle name="Normal 11 2 2 4 7" xfId="6201" xr:uid="{00000000-0005-0000-0000-0000420E0000}"/>
    <cellStyle name="Normal 11 2 2 4 8" xfId="7639" xr:uid="{00000000-0005-0000-0000-0000430E0000}"/>
    <cellStyle name="Normal 11 2 2 4 9" xfId="9076" xr:uid="{00000000-0005-0000-0000-0000440E0000}"/>
    <cellStyle name="Normal 11 2 2 5" xfId="490" xr:uid="{00000000-0005-0000-0000-0000450E0000}"/>
    <cellStyle name="Normal 11 2 2 5 2" xfId="969" xr:uid="{00000000-0005-0000-0000-0000460E0000}"/>
    <cellStyle name="Normal 11 2 2 5 2 2" xfId="2460" xr:uid="{00000000-0005-0000-0000-0000470E0000}"/>
    <cellStyle name="Normal 11 2 2 5 2 3" xfId="3907" xr:uid="{00000000-0005-0000-0000-0000480E0000}"/>
    <cellStyle name="Normal 11 2 2 5 2 4" xfId="5344" xr:uid="{00000000-0005-0000-0000-0000490E0000}"/>
    <cellStyle name="Normal 11 2 2 5 2 5" xfId="6790" xr:uid="{00000000-0005-0000-0000-00004A0E0000}"/>
    <cellStyle name="Normal 11 2 2 5 2 6" xfId="8230" xr:uid="{00000000-0005-0000-0000-00004B0E0000}"/>
    <cellStyle name="Normal 11 2 2 5 2 7" xfId="9664" xr:uid="{00000000-0005-0000-0000-00004C0E0000}"/>
    <cellStyle name="Normal 11 2 2 5 3" xfId="1521" xr:uid="{00000000-0005-0000-0000-00004D0E0000}"/>
    <cellStyle name="Normal 11 2 2 5 3 2" xfId="2994" xr:uid="{00000000-0005-0000-0000-00004E0E0000}"/>
    <cellStyle name="Normal 11 2 2 5 3 3" xfId="4431" xr:uid="{00000000-0005-0000-0000-00004F0E0000}"/>
    <cellStyle name="Normal 11 2 2 5 3 4" xfId="5868" xr:uid="{00000000-0005-0000-0000-0000500E0000}"/>
    <cellStyle name="Normal 11 2 2 5 3 5" xfId="7314" xr:uid="{00000000-0005-0000-0000-0000510E0000}"/>
    <cellStyle name="Normal 11 2 2 5 3 6" xfId="8755" xr:uid="{00000000-0005-0000-0000-0000520E0000}"/>
    <cellStyle name="Normal 11 2 2 5 3 7" xfId="10188" xr:uid="{00000000-0005-0000-0000-0000530E0000}"/>
    <cellStyle name="Normal 11 2 2 5 4" xfId="1993" xr:uid="{00000000-0005-0000-0000-0000540E0000}"/>
    <cellStyle name="Normal 11 2 2 5 5" xfId="3450" xr:uid="{00000000-0005-0000-0000-0000550E0000}"/>
    <cellStyle name="Normal 11 2 2 5 6" xfId="4887" xr:uid="{00000000-0005-0000-0000-0000560E0000}"/>
    <cellStyle name="Normal 11 2 2 5 7" xfId="6333" xr:uid="{00000000-0005-0000-0000-0000570E0000}"/>
    <cellStyle name="Normal 11 2 2 5 8" xfId="7771" xr:uid="{00000000-0005-0000-0000-0000580E0000}"/>
    <cellStyle name="Normal 11 2 2 5 9" xfId="9208" xr:uid="{00000000-0005-0000-0000-0000590E0000}"/>
    <cellStyle name="Normal 11 2 2 6" xfId="555" xr:uid="{00000000-0005-0000-0000-00005A0E0000}"/>
    <cellStyle name="Normal 11 2 2 6 2" xfId="1034" xr:uid="{00000000-0005-0000-0000-00005B0E0000}"/>
    <cellStyle name="Normal 11 2 2 6 2 2" xfId="2525" xr:uid="{00000000-0005-0000-0000-00005C0E0000}"/>
    <cellStyle name="Normal 11 2 2 6 2 3" xfId="3972" xr:uid="{00000000-0005-0000-0000-00005D0E0000}"/>
    <cellStyle name="Normal 11 2 2 6 2 4" xfId="5409" xr:uid="{00000000-0005-0000-0000-00005E0E0000}"/>
    <cellStyle name="Normal 11 2 2 6 2 5" xfId="6855" xr:uid="{00000000-0005-0000-0000-00005F0E0000}"/>
    <cellStyle name="Normal 11 2 2 6 2 6" xfId="8295" xr:uid="{00000000-0005-0000-0000-0000600E0000}"/>
    <cellStyle name="Normal 11 2 2 6 2 7" xfId="9729" xr:uid="{00000000-0005-0000-0000-0000610E0000}"/>
    <cellStyle name="Normal 11 2 2 6 3" xfId="1586" xr:uid="{00000000-0005-0000-0000-0000620E0000}"/>
    <cellStyle name="Normal 11 2 2 6 3 2" xfId="3059" xr:uid="{00000000-0005-0000-0000-0000630E0000}"/>
    <cellStyle name="Normal 11 2 2 6 3 3" xfId="4496" xr:uid="{00000000-0005-0000-0000-0000640E0000}"/>
    <cellStyle name="Normal 11 2 2 6 3 4" xfId="5933" xr:uid="{00000000-0005-0000-0000-0000650E0000}"/>
    <cellStyle name="Normal 11 2 2 6 3 5" xfId="7379" xr:uid="{00000000-0005-0000-0000-0000660E0000}"/>
    <cellStyle name="Normal 11 2 2 6 3 6" xfId="8820" xr:uid="{00000000-0005-0000-0000-0000670E0000}"/>
    <cellStyle name="Normal 11 2 2 6 3 7" xfId="10253" xr:uid="{00000000-0005-0000-0000-0000680E0000}"/>
    <cellStyle name="Normal 11 2 2 6 4" xfId="2058" xr:uid="{00000000-0005-0000-0000-0000690E0000}"/>
    <cellStyle name="Normal 11 2 2 6 5" xfId="3515" xr:uid="{00000000-0005-0000-0000-00006A0E0000}"/>
    <cellStyle name="Normal 11 2 2 6 6" xfId="4952" xr:uid="{00000000-0005-0000-0000-00006B0E0000}"/>
    <cellStyle name="Normal 11 2 2 6 7" xfId="6398" xr:uid="{00000000-0005-0000-0000-00006C0E0000}"/>
    <cellStyle name="Normal 11 2 2 6 8" xfId="7836" xr:uid="{00000000-0005-0000-0000-00006D0E0000}"/>
    <cellStyle name="Normal 11 2 2 6 9" xfId="9272" xr:uid="{00000000-0005-0000-0000-00006E0E0000}"/>
    <cellStyle name="Normal 11 2 2 7" xfId="697" xr:uid="{00000000-0005-0000-0000-00006F0E0000}"/>
    <cellStyle name="Normal 11 2 2 7 2" xfId="2188" xr:uid="{00000000-0005-0000-0000-0000700E0000}"/>
    <cellStyle name="Normal 11 2 2 7 3" xfId="3645" xr:uid="{00000000-0005-0000-0000-0000710E0000}"/>
    <cellStyle name="Normal 11 2 2 7 4" xfId="5082" xr:uid="{00000000-0005-0000-0000-0000720E0000}"/>
    <cellStyle name="Normal 11 2 2 7 5" xfId="6528" xr:uid="{00000000-0005-0000-0000-0000730E0000}"/>
    <cellStyle name="Normal 11 2 2 7 6" xfId="7967" xr:uid="{00000000-0005-0000-0000-0000740E0000}"/>
    <cellStyle name="Normal 11 2 2 7 7" xfId="9402" xr:uid="{00000000-0005-0000-0000-0000750E0000}"/>
    <cellStyle name="Normal 11 2 2 8" xfId="1188" xr:uid="{00000000-0005-0000-0000-0000760E0000}"/>
    <cellStyle name="Normal 11 2 2 8 2" xfId="2667" xr:uid="{00000000-0005-0000-0000-0000770E0000}"/>
    <cellStyle name="Normal 11 2 2 8 3" xfId="4104" xr:uid="{00000000-0005-0000-0000-0000780E0000}"/>
    <cellStyle name="Normal 11 2 2 8 4" xfId="5541" xr:uid="{00000000-0005-0000-0000-0000790E0000}"/>
    <cellStyle name="Normal 11 2 2 8 5" xfId="6987" xr:uid="{00000000-0005-0000-0000-00007A0E0000}"/>
    <cellStyle name="Normal 11 2 2 8 6" xfId="8428" xr:uid="{00000000-0005-0000-0000-00007B0E0000}"/>
    <cellStyle name="Normal 11 2 2 8 7" xfId="9861" xr:uid="{00000000-0005-0000-0000-00007C0E0000}"/>
    <cellStyle name="Normal 11 2 2 9" xfId="1253" xr:uid="{00000000-0005-0000-0000-00007D0E0000}"/>
    <cellStyle name="Normal 11 2 2 9 2" xfId="2732" xr:uid="{00000000-0005-0000-0000-00007E0E0000}"/>
    <cellStyle name="Normal 11 2 2 9 3" xfId="4169" xr:uid="{00000000-0005-0000-0000-00007F0E0000}"/>
    <cellStyle name="Normal 11 2 2 9 4" xfId="5606" xr:uid="{00000000-0005-0000-0000-0000800E0000}"/>
    <cellStyle name="Normal 11 2 2 9 5" xfId="7052" xr:uid="{00000000-0005-0000-0000-0000810E0000}"/>
    <cellStyle name="Normal 11 2 2 9 6" xfId="8493" xr:uid="{00000000-0005-0000-0000-0000820E0000}"/>
    <cellStyle name="Normal 11 2 2 9 7" xfId="9926" xr:uid="{00000000-0005-0000-0000-0000830E0000}"/>
    <cellStyle name="Normal 11 2 3" xfId="229" xr:uid="{00000000-0005-0000-0000-0000840E0000}"/>
    <cellStyle name="Normal 11 2 3 10" xfId="3204" xr:uid="{00000000-0005-0000-0000-0000850E0000}"/>
    <cellStyle name="Normal 11 2 3 11" xfId="4641" xr:uid="{00000000-0005-0000-0000-0000860E0000}"/>
    <cellStyle name="Normal 11 2 3 12" xfId="6087" xr:uid="{00000000-0005-0000-0000-0000870E0000}"/>
    <cellStyle name="Normal 11 2 3 13" xfId="7525" xr:uid="{00000000-0005-0000-0000-0000880E0000}"/>
    <cellStyle name="Normal 11 2 3 14" xfId="8965" xr:uid="{00000000-0005-0000-0000-0000890E0000}"/>
    <cellStyle name="Normal 11 2 3 2" xfId="298" xr:uid="{00000000-0005-0000-0000-00008A0E0000}"/>
    <cellStyle name="Normal 11 2 3 2 10" xfId="7590" xr:uid="{00000000-0005-0000-0000-00008B0E0000}"/>
    <cellStyle name="Normal 11 2 3 2 11" xfId="9029" xr:uid="{00000000-0005-0000-0000-00008C0E0000}"/>
    <cellStyle name="Normal 11 2 3 2 2" xfId="436" xr:uid="{00000000-0005-0000-0000-00008D0E0000}"/>
    <cellStyle name="Normal 11 2 3 2 2 2" xfId="918" xr:uid="{00000000-0005-0000-0000-00008E0E0000}"/>
    <cellStyle name="Normal 11 2 3 2 2 2 2" xfId="2409" xr:uid="{00000000-0005-0000-0000-00008F0E0000}"/>
    <cellStyle name="Normal 11 2 3 2 2 2 3" xfId="3856" xr:uid="{00000000-0005-0000-0000-0000900E0000}"/>
    <cellStyle name="Normal 11 2 3 2 2 2 4" xfId="5293" xr:uid="{00000000-0005-0000-0000-0000910E0000}"/>
    <cellStyle name="Normal 11 2 3 2 2 2 5" xfId="6739" xr:uid="{00000000-0005-0000-0000-0000920E0000}"/>
    <cellStyle name="Normal 11 2 3 2 2 2 6" xfId="8179" xr:uid="{00000000-0005-0000-0000-0000930E0000}"/>
    <cellStyle name="Normal 11 2 3 2 2 2 7" xfId="9613" xr:uid="{00000000-0005-0000-0000-0000940E0000}"/>
    <cellStyle name="Normal 11 2 3 2 2 3" xfId="1470" xr:uid="{00000000-0005-0000-0000-0000950E0000}"/>
    <cellStyle name="Normal 11 2 3 2 2 3 2" xfId="2943" xr:uid="{00000000-0005-0000-0000-0000960E0000}"/>
    <cellStyle name="Normal 11 2 3 2 2 3 3" xfId="4380" xr:uid="{00000000-0005-0000-0000-0000970E0000}"/>
    <cellStyle name="Normal 11 2 3 2 2 3 4" xfId="5817" xr:uid="{00000000-0005-0000-0000-0000980E0000}"/>
    <cellStyle name="Normal 11 2 3 2 2 3 5" xfId="7263" xr:uid="{00000000-0005-0000-0000-0000990E0000}"/>
    <cellStyle name="Normal 11 2 3 2 2 3 6" xfId="8704" xr:uid="{00000000-0005-0000-0000-00009A0E0000}"/>
    <cellStyle name="Normal 11 2 3 2 2 3 7" xfId="10137" xr:uid="{00000000-0005-0000-0000-00009B0E0000}"/>
    <cellStyle name="Normal 11 2 3 2 2 4" xfId="1942" xr:uid="{00000000-0005-0000-0000-00009C0E0000}"/>
    <cellStyle name="Normal 11 2 3 2 2 5" xfId="3399" xr:uid="{00000000-0005-0000-0000-00009D0E0000}"/>
    <cellStyle name="Normal 11 2 3 2 2 6" xfId="4836" xr:uid="{00000000-0005-0000-0000-00009E0E0000}"/>
    <cellStyle name="Normal 11 2 3 2 2 7" xfId="6282" xr:uid="{00000000-0005-0000-0000-00009F0E0000}"/>
    <cellStyle name="Normal 11 2 3 2 2 8" xfId="7720" xr:uid="{00000000-0005-0000-0000-0000A00E0000}"/>
    <cellStyle name="Normal 11 2 3 2 2 9" xfId="9157" xr:uid="{00000000-0005-0000-0000-0000A10E0000}"/>
    <cellStyle name="Normal 11 2 3 2 3" xfId="640" xr:uid="{00000000-0005-0000-0000-0000A20E0000}"/>
    <cellStyle name="Normal 11 2 3 2 3 2" xfId="1119" xr:uid="{00000000-0005-0000-0000-0000A30E0000}"/>
    <cellStyle name="Normal 11 2 3 2 3 2 2" xfId="2610" xr:uid="{00000000-0005-0000-0000-0000A40E0000}"/>
    <cellStyle name="Normal 11 2 3 2 3 2 3" xfId="4053" xr:uid="{00000000-0005-0000-0000-0000A50E0000}"/>
    <cellStyle name="Normal 11 2 3 2 3 2 4" xfId="5490" xr:uid="{00000000-0005-0000-0000-0000A60E0000}"/>
    <cellStyle name="Normal 11 2 3 2 3 2 5" xfId="6936" xr:uid="{00000000-0005-0000-0000-0000A70E0000}"/>
    <cellStyle name="Normal 11 2 3 2 3 2 6" xfId="8376" xr:uid="{00000000-0005-0000-0000-0000A80E0000}"/>
    <cellStyle name="Normal 11 2 3 2 3 2 7" xfId="9810" xr:uid="{00000000-0005-0000-0000-0000A90E0000}"/>
    <cellStyle name="Normal 11 2 3 2 3 3" xfId="1669" xr:uid="{00000000-0005-0000-0000-0000AA0E0000}"/>
    <cellStyle name="Normal 11 2 3 2 3 3 2" xfId="3140" xr:uid="{00000000-0005-0000-0000-0000AB0E0000}"/>
    <cellStyle name="Normal 11 2 3 2 3 3 3" xfId="4577" xr:uid="{00000000-0005-0000-0000-0000AC0E0000}"/>
    <cellStyle name="Normal 11 2 3 2 3 3 4" xfId="6014" xr:uid="{00000000-0005-0000-0000-0000AD0E0000}"/>
    <cellStyle name="Normal 11 2 3 2 3 3 5" xfId="7460" xr:uid="{00000000-0005-0000-0000-0000AE0E0000}"/>
    <cellStyle name="Normal 11 2 3 2 3 3 6" xfId="8901" xr:uid="{00000000-0005-0000-0000-0000AF0E0000}"/>
    <cellStyle name="Normal 11 2 3 2 3 3 7" xfId="10334" xr:uid="{00000000-0005-0000-0000-0000B00E0000}"/>
    <cellStyle name="Normal 11 2 3 2 3 4" xfId="2139" xr:uid="{00000000-0005-0000-0000-0000B10E0000}"/>
    <cellStyle name="Normal 11 2 3 2 3 5" xfId="3596" xr:uid="{00000000-0005-0000-0000-0000B20E0000}"/>
    <cellStyle name="Normal 11 2 3 2 3 6" xfId="5033" xr:uid="{00000000-0005-0000-0000-0000B30E0000}"/>
    <cellStyle name="Normal 11 2 3 2 3 7" xfId="6479" xr:uid="{00000000-0005-0000-0000-0000B40E0000}"/>
    <cellStyle name="Normal 11 2 3 2 3 8" xfId="7918" xr:uid="{00000000-0005-0000-0000-0000B50E0000}"/>
    <cellStyle name="Normal 11 2 3 2 3 9" xfId="9353" xr:uid="{00000000-0005-0000-0000-0000B60E0000}"/>
    <cellStyle name="Normal 11 2 3 2 4" xfId="782" xr:uid="{00000000-0005-0000-0000-0000B70E0000}"/>
    <cellStyle name="Normal 11 2 3 2 4 2" xfId="2273" xr:uid="{00000000-0005-0000-0000-0000B80E0000}"/>
    <cellStyle name="Normal 11 2 3 2 4 3" xfId="3726" xr:uid="{00000000-0005-0000-0000-0000B90E0000}"/>
    <cellStyle name="Normal 11 2 3 2 4 4" xfId="5163" xr:uid="{00000000-0005-0000-0000-0000BA0E0000}"/>
    <cellStyle name="Normal 11 2 3 2 4 5" xfId="6609" xr:uid="{00000000-0005-0000-0000-0000BB0E0000}"/>
    <cellStyle name="Normal 11 2 3 2 4 6" xfId="8049" xr:uid="{00000000-0005-0000-0000-0000BC0E0000}"/>
    <cellStyle name="Normal 11 2 3 2 4 7" xfId="9483" xr:uid="{00000000-0005-0000-0000-0000BD0E0000}"/>
    <cellStyle name="Normal 11 2 3 2 5" xfId="1338" xr:uid="{00000000-0005-0000-0000-0000BE0E0000}"/>
    <cellStyle name="Normal 11 2 3 2 5 2" xfId="2813" xr:uid="{00000000-0005-0000-0000-0000BF0E0000}"/>
    <cellStyle name="Normal 11 2 3 2 5 3" xfId="4250" xr:uid="{00000000-0005-0000-0000-0000C00E0000}"/>
    <cellStyle name="Normal 11 2 3 2 5 4" xfId="5687" xr:uid="{00000000-0005-0000-0000-0000C10E0000}"/>
    <cellStyle name="Normal 11 2 3 2 5 5" xfId="7133" xr:uid="{00000000-0005-0000-0000-0000C20E0000}"/>
    <cellStyle name="Normal 11 2 3 2 5 6" xfId="8574" xr:uid="{00000000-0005-0000-0000-0000C30E0000}"/>
    <cellStyle name="Normal 11 2 3 2 5 7" xfId="10007" xr:uid="{00000000-0005-0000-0000-0000C40E0000}"/>
    <cellStyle name="Normal 11 2 3 2 6" xfId="1812" xr:uid="{00000000-0005-0000-0000-0000C50E0000}"/>
    <cellStyle name="Normal 11 2 3 2 7" xfId="3269" xr:uid="{00000000-0005-0000-0000-0000C60E0000}"/>
    <cellStyle name="Normal 11 2 3 2 8" xfId="4706" xr:uid="{00000000-0005-0000-0000-0000C70E0000}"/>
    <cellStyle name="Normal 11 2 3 2 9" xfId="6152" xr:uid="{00000000-0005-0000-0000-0000C80E0000}"/>
    <cellStyle name="Normal 11 2 3 3" xfId="367" xr:uid="{00000000-0005-0000-0000-0000C90E0000}"/>
    <cellStyle name="Normal 11 2 3 3 2" xfId="849" xr:uid="{00000000-0005-0000-0000-0000CA0E0000}"/>
    <cellStyle name="Normal 11 2 3 3 2 2" xfId="2340" xr:uid="{00000000-0005-0000-0000-0000CB0E0000}"/>
    <cellStyle name="Normal 11 2 3 3 2 3" xfId="3791" xr:uid="{00000000-0005-0000-0000-0000CC0E0000}"/>
    <cellStyle name="Normal 11 2 3 3 2 4" xfId="5228" xr:uid="{00000000-0005-0000-0000-0000CD0E0000}"/>
    <cellStyle name="Normal 11 2 3 3 2 5" xfId="6674" xr:uid="{00000000-0005-0000-0000-0000CE0E0000}"/>
    <cellStyle name="Normal 11 2 3 3 2 6" xfId="8114" xr:uid="{00000000-0005-0000-0000-0000CF0E0000}"/>
    <cellStyle name="Normal 11 2 3 3 2 7" xfId="9548" xr:uid="{00000000-0005-0000-0000-0000D00E0000}"/>
    <cellStyle name="Normal 11 2 3 3 3" xfId="1403" xr:uid="{00000000-0005-0000-0000-0000D10E0000}"/>
    <cellStyle name="Normal 11 2 3 3 3 2" xfId="2878" xr:uid="{00000000-0005-0000-0000-0000D20E0000}"/>
    <cellStyle name="Normal 11 2 3 3 3 3" xfId="4315" xr:uid="{00000000-0005-0000-0000-0000D30E0000}"/>
    <cellStyle name="Normal 11 2 3 3 3 4" xfId="5752" xr:uid="{00000000-0005-0000-0000-0000D40E0000}"/>
    <cellStyle name="Normal 11 2 3 3 3 5" xfId="7198" xr:uid="{00000000-0005-0000-0000-0000D50E0000}"/>
    <cellStyle name="Normal 11 2 3 3 3 6" xfId="8639" xr:uid="{00000000-0005-0000-0000-0000D60E0000}"/>
    <cellStyle name="Normal 11 2 3 3 3 7" xfId="10072" xr:uid="{00000000-0005-0000-0000-0000D70E0000}"/>
    <cellStyle name="Normal 11 2 3 3 4" xfId="1877" xr:uid="{00000000-0005-0000-0000-0000D80E0000}"/>
    <cellStyle name="Normal 11 2 3 3 5" xfId="3334" xr:uid="{00000000-0005-0000-0000-0000D90E0000}"/>
    <cellStyle name="Normal 11 2 3 3 6" xfId="4771" xr:uid="{00000000-0005-0000-0000-0000DA0E0000}"/>
    <cellStyle name="Normal 11 2 3 3 7" xfId="6217" xr:uid="{00000000-0005-0000-0000-0000DB0E0000}"/>
    <cellStyle name="Normal 11 2 3 3 8" xfId="7655" xr:uid="{00000000-0005-0000-0000-0000DC0E0000}"/>
    <cellStyle name="Normal 11 2 3 3 9" xfId="9092" xr:uid="{00000000-0005-0000-0000-0000DD0E0000}"/>
    <cellStyle name="Normal 11 2 3 4" xfId="506" xr:uid="{00000000-0005-0000-0000-0000DE0E0000}"/>
    <cellStyle name="Normal 11 2 3 4 2" xfId="985" xr:uid="{00000000-0005-0000-0000-0000DF0E0000}"/>
    <cellStyle name="Normal 11 2 3 4 2 2" xfId="2476" xr:uid="{00000000-0005-0000-0000-0000E00E0000}"/>
    <cellStyle name="Normal 11 2 3 4 2 3" xfId="3923" xr:uid="{00000000-0005-0000-0000-0000E10E0000}"/>
    <cellStyle name="Normal 11 2 3 4 2 4" xfId="5360" xr:uid="{00000000-0005-0000-0000-0000E20E0000}"/>
    <cellStyle name="Normal 11 2 3 4 2 5" xfId="6806" xr:uid="{00000000-0005-0000-0000-0000E30E0000}"/>
    <cellStyle name="Normal 11 2 3 4 2 6" xfId="8246" xr:uid="{00000000-0005-0000-0000-0000E40E0000}"/>
    <cellStyle name="Normal 11 2 3 4 2 7" xfId="9680" xr:uid="{00000000-0005-0000-0000-0000E50E0000}"/>
    <cellStyle name="Normal 11 2 3 4 3" xfId="1537" xr:uid="{00000000-0005-0000-0000-0000E60E0000}"/>
    <cellStyle name="Normal 11 2 3 4 3 2" xfId="3010" xr:uid="{00000000-0005-0000-0000-0000E70E0000}"/>
    <cellStyle name="Normal 11 2 3 4 3 3" xfId="4447" xr:uid="{00000000-0005-0000-0000-0000E80E0000}"/>
    <cellStyle name="Normal 11 2 3 4 3 4" xfId="5884" xr:uid="{00000000-0005-0000-0000-0000E90E0000}"/>
    <cellStyle name="Normal 11 2 3 4 3 5" xfId="7330" xr:uid="{00000000-0005-0000-0000-0000EA0E0000}"/>
    <cellStyle name="Normal 11 2 3 4 3 6" xfId="8771" xr:uid="{00000000-0005-0000-0000-0000EB0E0000}"/>
    <cellStyle name="Normal 11 2 3 4 3 7" xfId="10204" xr:uid="{00000000-0005-0000-0000-0000EC0E0000}"/>
    <cellStyle name="Normal 11 2 3 4 4" xfId="2009" xr:uid="{00000000-0005-0000-0000-0000ED0E0000}"/>
    <cellStyle name="Normal 11 2 3 4 5" xfId="3466" xr:uid="{00000000-0005-0000-0000-0000EE0E0000}"/>
    <cellStyle name="Normal 11 2 3 4 6" xfId="4903" xr:uid="{00000000-0005-0000-0000-0000EF0E0000}"/>
    <cellStyle name="Normal 11 2 3 4 7" xfId="6349" xr:uid="{00000000-0005-0000-0000-0000F00E0000}"/>
    <cellStyle name="Normal 11 2 3 4 8" xfId="7787" xr:uid="{00000000-0005-0000-0000-0000F10E0000}"/>
    <cellStyle name="Normal 11 2 3 4 9" xfId="9224" xr:uid="{00000000-0005-0000-0000-0000F20E0000}"/>
    <cellStyle name="Normal 11 2 3 5" xfId="571" xr:uid="{00000000-0005-0000-0000-0000F30E0000}"/>
    <cellStyle name="Normal 11 2 3 5 2" xfId="1050" xr:uid="{00000000-0005-0000-0000-0000F40E0000}"/>
    <cellStyle name="Normal 11 2 3 5 2 2" xfId="2541" xr:uid="{00000000-0005-0000-0000-0000F50E0000}"/>
    <cellStyle name="Normal 11 2 3 5 2 3" xfId="3988" xr:uid="{00000000-0005-0000-0000-0000F60E0000}"/>
    <cellStyle name="Normal 11 2 3 5 2 4" xfId="5425" xr:uid="{00000000-0005-0000-0000-0000F70E0000}"/>
    <cellStyle name="Normal 11 2 3 5 2 5" xfId="6871" xr:uid="{00000000-0005-0000-0000-0000F80E0000}"/>
    <cellStyle name="Normal 11 2 3 5 2 6" xfId="8311" xr:uid="{00000000-0005-0000-0000-0000F90E0000}"/>
    <cellStyle name="Normal 11 2 3 5 2 7" xfId="9745" xr:uid="{00000000-0005-0000-0000-0000FA0E0000}"/>
    <cellStyle name="Normal 11 2 3 5 3" xfId="1602" xr:uid="{00000000-0005-0000-0000-0000FB0E0000}"/>
    <cellStyle name="Normal 11 2 3 5 3 2" xfId="3075" xr:uid="{00000000-0005-0000-0000-0000FC0E0000}"/>
    <cellStyle name="Normal 11 2 3 5 3 3" xfId="4512" xr:uid="{00000000-0005-0000-0000-0000FD0E0000}"/>
    <cellStyle name="Normal 11 2 3 5 3 4" xfId="5949" xr:uid="{00000000-0005-0000-0000-0000FE0E0000}"/>
    <cellStyle name="Normal 11 2 3 5 3 5" xfId="7395" xr:uid="{00000000-0005-0000-0000-0000FF0E0000}"/>
    <cellStyle name="Normal 11 2 3 5 3 6" xfId="8836" xr:uid="{00000000-0005-0000-0000-0000000F0000}"/>
    <cellStyle name="Normal 11 2 3 5 3 7" xfId="10269" xr:uid="{00000000-0005-0000-0000-0000010F0000}"/>
    <cellStyle name="Normal 11 2 3 5 4" xfId="2074" xr:uid="{00000000-0005-0000-0000-0000020F0000}"/>
    <cellStyle name="Normal 11 2 3 5 5" xfId="3531" xr:uid="{00000000-0005-0000-0000-0000030F0000}"/>
    <cellStyle name="Normal 11 2 3 5 6" xfId="4968" xr:uid="{00000000-0005-0000-0000-0000040F0000}"/>
    <cellStyle name="Normal 11 2 3 5 7" xfId="6414" xr:uid="{00000000-0005-0000-0000-0000050F0000}"/>
    <cellStyle name="Normal 11 2 3 5 8" xfId="7852" xr:uid="{00000000-0005-0000-0000-0000060F0000}"/>
    <cellStyle name="Normal 11 2 3 5 9" xfId="9288" xr:uid="{00000000-0005-0000-0000-0000070F0000}"/>
    <cellStyle name="Normal 11 2 3 6" xfId="713" xr:uid="{00000000-0005-0000-0000-0000080F0000}"/>
    <cellStyle name="Normal 11 2 3 6 2" xfId="2204" xr:uid="{00000000-0005-0000-0000-0000090F0000}"/>
    <cellStyle name="Normal 11 2 3 6 3" xfId="3661" xr:uid="{00000000-0005-0000-0000-00000A0F0000}"/>
    <cellStyle name="Normal 11 2 3 6 4" xfId="5098" xr:uid="{00000000-0005-0000-0000-00000B0F0000}"/>
    <cellStyle name="Normal 11 2 3 6 5" xfId="6544" xr:uid="{00000000-0005-0000-0000-00000C0F0000}"/>
    <cellStyle name="Normal 11 2 3 6 6" xfId="7983" xr:uid="{00000000-0005-0000-0000-00000D0F0000}"/>
    <cellStyle name="Normal 11 2 3 6 7" xfId="9418" xr:uid="{00000000-0005-0000-0000-00000E0F0000}"/>
    <cellStyle name="Normal 11 2 3 7" xfId="1204" xr:uid="{00000000-0005-0000-0000-00000F0F0000}"/>
    <cellStyle name="Normal 11 2 3 7 2" xfId="2683" xr:uid="{00000000-0005-0000-0000-0000100F0000}"/>
    <cellStyle name="Normal 11 2 3 7 3" xfId="4120" xr:uid="{00000000-0005-0000-0000-0000110F0000}"/>
    <cellStyle name="Normal 11 2 3 7 4" xfId="5557" xr:uid="{00000000-0005-0000-0000-0000120F0000}"/>
    <cellStyle name="Normal 11 2 3 7 5" xfId="7003" xr:uid="{00000000-0005-0000-0000-0000130F0000}"/>
    <cellStyle name="Normal 11 2 3 7 6" xfId="8444" xr:uid="{00000000-0005-0000-0000-0000140F0000}"/>
    <cellStyle name="Normal 11 2 3 7 7" xfId="9877" xr:uid="{00000000-0005-0000-0000-0000150F0000}"/>
    <cellStyle name="Normal 11 2 3 8" xfId="1269" xr:uid="{00000000-0005-0000-0000-0000160F0000}"/>
    <cellStyle name="Normal 11 2 3 8 2" xfId="2748" xr:uid="{00000000-0005-0000-0000-0000170F0000}"/>
    <cellStyle name="Normal 11 2 3 8 3" xfId="4185" xr:uid="{00000000-0005-0000-0000-0000180F0000}"/>
    <cellStyle name="Normal 11 2 3 8 4" xfId="5622" xr:uid="{00000000-0005-0000-0000-0000190F0000}"/>
    <cellStyle name="Normal 11 2 3 8 5" xfId="7068" xr:uid="{00000000-0005-0000-0000-00001A0F0000}"/>
    <cellStyle name="Normal 11 2 3 8 6" xfId="8509" xr:uid="{00000000-0005-0000-0000-00001B0F0000}"/>
    <cellStyle name="Normal 11 2 3 8 7" xfId="9942" xr:uid="{00000000-0005-0000-0000-00001C0F0000}"/>
    <cellStyle name="Normal 11 2 3 9" xfId="1747" xr:uid="{00000000-0005-0000-0000-00001D0F0000}"/>
    <cellStyle name="Normal 11 2 4" xfId="266" xr:uid="{00000000-0005-0000-0000-00001E0F0000}"/>
    <cellStyle name="Normal 11 2 4 10" xfId="7556" xr:uid="{00000000-0005-0000-0000-00001F0F0000}"/>
    <cellStyle name="Normal 11 2 4 11" xfId="8995" xr:uid="{00000000-0005-0000-0000-0000200F0000}"/>
    <cellStyle name="Normal 11 2 4 2" xfId="402" xr:uid="{00000000-0005-0000-0000-0000210F0000}"/>
    <cellStyle name="Normal 11 2 4 2 2" xfId="884" xr:uid="{00000000-0005-0000-0000-0000220F0000}"/>
    <cellStyle name="Normal 11 2 4 2 2 2" xfId="2375" xr:uid="{00000000-0005-0000-0000-0000230F0000}"/>
    <cellStyle name="Normal 11 2 4 2 2 3" xfId="3822" xr:uid="{00000000-0005-0000-0000-0000240F0000}"/>
    <cellStyle name="Normal 11 2 4 2 2 4" xfId="5259" xr:uid="{00000000-0005-0000-0000-0000250F0000}"/>
    <cellStyle name="Normal 11 2 4 2 2 5" xfId="6705" xr:uid="{00000000-0005-0000-0000-0000260F0000}"/>
    <cellStyle name="Normal 11 2 4 2 2 6" xfId="8145" xr:uid="{00000000-0005-0000-0000-0000270F0000}"/>
    <cellStyle name="Normal 11 2 4 2 2 7" xfId="9579" xr:uid="{00000000-0005-0000-0000-0000280F0000}"/>
    <cellStyle name="Normal 11 2 4 2 3" xfId="1436" xr:uid="{00000000-0005-0000-0000-0000290F0000}"/>
    <cellStyle name="Normal 11 2 4 2 3 2" xfId="2909" xr:uid="{00000000-0005-0000-0000-00002A0F0000}"/>
    <cellStyle name="Normal 11 2 4 2 3 3" xfId="4346" xr:uid="{00000000-0005-0000-0000-00002B0F0000}"/>
    <cellStyle name="Normal 11 2 4 2 3 4" xfId="5783" xr:uid="{00000000-0005-0000-0000-00002C0F0000}"/>
    <cellStyle name="Normal 11 2 4 2 3 5" xfId="7229" xr:uid="{00000000-0005-0000-0000-00002D0F0000}"/>
    <cellStyle name="Normal 11 2 4 2 3 6" xfId="8670" xr:uid="{00000000-0005-0000-0000-00002E0F0000}"/>
    <cellStyle name="Normal 11 2 4 2 3 7" xfId="10103" xr:uid="{00000000-0005-0000-0000-00002F0F0000}"/>
    <cellStyle name="Normal 11 2 4 2 4" xfId="1908" xr:uid="{00000000-0005-0000-0000-0000300F0000}"/>
    <cellStyle name="Normal 11 2 4 2 5" xfId="3365" xr:uid="{00000000-0005-0000-0000-0000310F0000}"/>
    <cellStyle name="Normal 11 2 4 2 6" xfId="4802" xr:uid="{00000000-0005-0000-0000-0000320F0000}"/>
    <cellStyle name="Normal 11 2 4 2 7" xfId="6248" xr:uid="{00000000-0005-0000-0000-0000330F0000}"/>
    <cellStyle name="Normal 11 2 4 2 8" xfId="7686" xr:uid="{00000000-0005-0000-0000-0000340F0000}"/>
    <cellStyle name="Normal 11 2 4 2 9" xfId="9123" xr:uid="{00000000-0005-0000-0000-0000350F0000}"/>
    <cellStyle name="Normal 11 2 4 3" xfId="606" xr:uid="{00000000-0005-0000-0000-0000360F0000}"/>
    <cellStyle name="Normal 11 2 4 3 2" xfId="1085" xr:uid="{00000000-0005-0000-0000-0000370F0000}"/>
    <cellStyle name="Normal 11 2 4 3 2 2" xfId="2576" xr:uid="{00000000-0005-0000-0000-0000380F0000}"/>
    <cellStyle name="Normal 11 2 4 3 2 3" xfId="4019" xr:uid="{00000000-0005-0000-0000-0000390F0000}"/>
    <cellStyle name="Normal 11 2 4 3 2 4" xfId="5456" xr:uid="{00000000-0005-0000-0000-00003A0F0000}"/>
    <cellStyle name="Normal 11 2 4 3 2 5" xfId="6902" xr:uid="{00000000-0005-0000-0000-00003B0F0000}"/>
    <cellStyle name="Normal 11 2 4 3 2 6" xfId="8342" xr:uid="{00000000-0005-0000-0000-00003C0F0000}"/>
    <cellStyle name="Normal 11 2 4 3 2 7" xfId="9776" xr:uid="{00000000-0005-0000-0000-00003D0F0000}"/>
    <cellStyle name="Normal 11 2 4 3 3" xfId="1635" xr:uid="{00000000-0005-0000-0000-00003E0F0000}"/>
    <cellStyle name="Normal 11 2 4 3 3 2" xfId="3106" xr:uid="{00000000-0005-0000-0000-00003F0F0000}"/>
    <cellStyle name="Normal 11 2 4 3 3 3" xfId="4543" xr:uid="{00000000-0005-0000-0000-0000400F0000}"/>
    <cellStyle name="Normal 11 2 4 3 3 4" xfId="5980" xr:uid="{00000000-0005-0000-0000-0000410F0000}"/>
    <cellStyle name="Normal 11 2 4 3 3 5" xfId="7426" xr:uid="{00000000-0005-0000-0000-0000420F0000}"/>
    <cellStyle name="Normal 11 2 4 3 3 6" xfId="8867" xr:uid="{00000000-0005-0000-0000-0000430F0000}"/>
    <cellStyle name="Normal 11 2 4 3 3 7" xfId="10300" xr:uid="{00000000-0005-0000-0000-0000440F0000}"/>
    <cellStyle name="Normal 11 2 4 3 4" xfId="2105" xr:uid="{00000000-0005-0000-0000-0000450F0000}"/>
    <cellStyle name="Normal 11 2 4 3 5" xfId="3562" xr:uid="{00000000-0005-0000-0000-0000460F0000}"/>
    <cellStyle name="Normal 11 2 4 3 6" xfId="4999" xr:uid="{00000000-0005-0000-0000-0000470F0000}"/>
    <cellStyle name="Normal 11 2 4 3 7" xfId="6445" xr:uid="{00000000-0005-0000-0000-0000480F0000}"/>
    <cellStyle name="Normal 11 2 4 3 8" xfId="7884" xr:uid="{00000000-0005-0000-0000-0000490F0000}"/>
    <cellStyle name="Normal 11 2 4 3 9" xfId="9319" xr:uid="{00000000-0005-0000-0000-00004A0F0000}"/>
    <cellStyle name="Normal 11 2 4 4" xfId="748" xr:uid="{00000000-0005-0000-0000-00004B0F0000}"/>
    <cellStyle name="Normal 11 2 4 4 2" xfId="2239" xr:uid="{00000000-0005-0000-0000-00004C0F0000}"/>
    <cellStyle name="Normal 11 2 4 4 3" xfId="3692" xr:uid="{00000000-0005-0000-0000-00004D0F0000}"/>
    <cellStyle name="Normal 11 2 4 4 4" xfId="5129" xr:uid="{00000000-0005-0000-0000-00004E0F0000}"/>
    <cellStyle name="Normal 11 2 4 4 5" xfId="6575" xr:uid="{00000000-0005-0000-0000-00004F0F0000}"/>
    <cellStyle name="Normal 11 2 4 4 6" xfId="8015" xr:uid="{00000000-0005-0000-0000-0000500F0000}"/>
    <cellStyle name="Normal 11 2 4 4 7" xfId="9449" xr:uid="{00000000-0005-0000-0000-0000510F0000}"/>
    <cellStyle name="Normal 11 2 4 5" xfId="1304" xr:uid="{00000000-0005-0000-0000-0000520F0000}"/>
    <cellStyle name="Normal 11 2 4 5 2" xfId="2779" xr:uid="{00000000-0005-0000-0000-0000530F0000}"/>
    <cellStyle name="Normal 11 2 4 5 3" xfId="4216" xr:uid="{00000000-0005-0000-0000-0000540F0000}"/>
    <cellStyle name="Normal 11 2 4 5 4" xfId="5653" xr:uid="{00000000-0005-0000-0000-0000550F0000}"/>
    <cellStyle name="Normal 11 2 4 5 5" xfId="7099" xr:uid="{00000000-0005-0000-0000-0000560F0000}"/>
    <cellStyle name="Normal 11 2 4 5 6" xfId="8540" xr:uid="{00000000-0005-0000-0000-0000570F0000}"/>
    <cellStyle name="Normal 11 2 4 5 7" xfId="9973" xr:uid="{00000000-0005-0000-0000-0000580F0000}"/>
    <cellStyle name="Normal 11 2 4 6" xfId="1778" xr:uid="{00000000-0005-0000-0000-0000590F0000}"/>
    <cellStyle name="Normal 11 2 4 7" xfId="3235" xr:uid="{00000000-0005-0000-0000-00005A0F0000}"/>
    <cellStyle name="Normal 11 2 4 8" xfId="4672" xr:uid="{00000000-0005-0000-0000-00005B0F0000}"/>
    <cellStyle name="Normal 11 2 4 9" xfId="6118" xr:uid="{00000000-0005-0000-0000-00005C0F0000}"/>
    <cellStyle name="Normal 11 2 5" xfId="333" xr:uid="{00000000-0005-0000-0000-00005D0F0000}"/>
    <cellStyle name="Normal 11 2 5 2" xfId="815" xr:uid="{00000000-0005-0000-0000-00005E0F0000}"/>
    <cellStyle name="Normal 11 2 5 2 2" xfId="2306" xr:uid="{00000000-0005-0000-0000-00005F0F0000}"/>
    <cellStyle name="Normal 11 2 5 2 3" xfId="3757" xr:uid="{00000000-0005-0000-0000-0000600F0000}"/>
    <cellStyle name="Normal 11 2 5 2 4" xfId="5194" xr:uid="{00000000-0005-0000-0000-0000610F0000}"/>
    <cellStyle name="Normal 11 2 5 2 5" xfId="6640" xr:uid="{00000000-0005-0000-0000-0000620F0000}"/>
    <cellStyle name="Normal 11 2 5 2 6" xfId="8080" xr:uid="{00000000-0005-0000-0000-0000630F0000}"/>
    <cellStyle name="Normal 11 2 5 2 7" xfId="9514" xr:uid="{00000000-0005-0000-0000-0000640F0000}"/>
    <cellStyle name="Normal 11 2 5 3" xfId="1369" xr:uid="{00000000-0005-0000-0000-0000650F0000}"/>
    <cellStyle name="Normal 11 2 5 3 2" xfId="2844" xr:uid="{00000000-0005-0000-0000-0000660F0000}"/>
    <cellStyle name="Normal 11 2 5 3 3" xfId="4281" xr:uid="{00000000-0005-0000-0000-0000670F0000}"/>
    <cellStyle name="Normal 11 2 5 3 4" xfId="5718" xr:uid="{00000000-0005-0000-0000-0000680F0000}"/>
    <cellStyle name="Normal 11 2 5 3 5" xfId="7164" xr:uid="{00000000-0005-0000-0000-0000690F0000}"/>
    <cellStyle name="Normal 11 2 5 3 6" xfId="8605" xr:uid="{00000000-0005-0000-0000-00006A0F0000}"/>
    <cellStyle name="Normal 11 2 5 3 7" xfId="10038" xr:uid="{00000000-0005-0000-0000-00006B0F0000}"/>
    <cellStyle name="Normal 11 2 5 4" xfId="1843" xr:uid="{00000000-0005-0000-0000-00006C0F0000}"/>
    <cellStyle name="Normal 11 2 5 5" xfId="3300" xr:uid="{00000000-0005-0000-0000-00006D0F0000}"/>
    <cellStyle name="Normal 11 2 5 6" xfId="4737" xr:uid="{00000000-0005-0000-0000-00006E0F0000}"/>
    <cellStyle name="Normal 11 2 5 7" xfId="6183" xr:uid="{00000000-0005-0000-0000-00006F0F0000}"/>
    <cellStyle name="Normal 11 2 5 8" xfId="7621" xr:uid="{00000000-0005-0000-0000-0000700F0000}"/>
    <cellStyle name="Normal 11 2 5 9" xfId="9059" xr:uid="{00000000-0005-0000-0000-0000710F0000}"/>
    <cellStyle name="Normal 11 2 6" xfId="472" xr:uid="{00000000-0005-0000-0000-0000720F0000}"/>
    <cellStyle name="Normal 11 2 6 2" xfId="951" xr:uid="{00000000-0005-0000-0000-0000730F0000}"/>
    <cellStyle name="Normal 11 2 6 2 2" xfId="2442" xr:uid="{00000000-0005-0000-0000-0000740F0000}"/>
    <cellStyle name="Normal 11 2 6 2 3" xfId="3889" xr:uid="{00000000-0005-0000-0000-0000750F0000}"/>
    <cellStyle name="Normal 11 2 6 2 4" xfId="5326" xr:uid="{00000000-0005-0000-0000-0000760F0000}"/>
    <cellStyle name="Normal 11 2 6 2 5" xfId="6772" xr:uid="{00000000-0005-0000-0000-0000770F0000}"/>
    <cellStyle name="Normal 11 2 6 2 6" xfId="8212" xr:uid="{00000000-0005-0000-0000-0000780F0000}"/>
    <cellStyle name="Normal 11 2 6 2 7" xfId="9646" xr:uid="{00000000-0005-0000-0000-0000790F0000}"/>
    <cellStyle name="Normal 11 2 6 3" xfId="1503" xr:uid="{00000000-0005-0000-0000-00007A0F0000}"/>
    <cellStyle name="Normal 11 2 6 3 2" xfId="2976" xr:uid="{00000000-0005-0000-0000-00007B0F0000}"/>
    <cellStyle name="Normal 11 2 6 3 3" xfId="4413" xr:uid="{00000000-0005-0000-0000-00007C0F0000}"/>
    <cellStyle name="Normal 11 2 6 3 4" xfId="5850" xr:uid="{00000000-0005-0000-0000-00007D0F0000}"/>
    <cellStyle name="Normal 11 2 6 3 5" xfId="7296" xr:uid="{00000000-0005-0000-0000-00007E0F0000}"/>
    <cellStyle name="Normal 11 2 6 3 6" xfId="8737" xr:uid="{00000000-0005-0000-0000-00007F0F0000}"/>
    <cellStyle name="Normal 11 2 6 3 7" xfId="10170" xr:uid="{00000000-0005-0000-0000-0000800F0000}"/>
    <cellStyle name="Normal 11 2 6 4" xfId="1975" xr:uid="{00000000-0005-0000-0000-0000810F0000}"/>
    <cellStyle name="Normal 11 2 6 5" xfId="3432" xr:uid="{00000000-0005-0000-0000-0000820F0000}"/>
    <cellStyle name="Normal 11 2 6 6" xfId="4869" xr:uid="{00000000-0005-0000-0000-0000830F0000}"/>
    <cellStyle name="Normal 11 2 6 7" xfId="6315" xr:uid="{00000000-0005-0000-0000-0000840F0000}"/>
    <cellStyle name="Normal 11 2 6 8" xfId="7753" xr:uid="{00000000-0005-0000-0000-0000850F0000}"/>
    <cellStyle name="Normal 11 2 6 9" xfId="9190" xr:uid="{00000000-0005-0000-0000-0000860F0000}"/>
    <cellStyle name="Normal 11 2 7" xfId="537" xr:uid="{00000000-0005-0000-0000-0000870F0000}"/>
    <cellStyle name="Normal 11 2 7 2" xfId="1016" xr:uid="{00000000-0005-0000-0000-0000880F0000}"/>
    <cellStyle name="Normal 11 2 7 2 2" xfId="2507" xr:uid="{00000000-0005-0000-0000-0000890F0000}"/>
    <cellStyle name="Normal 11 2 7 2 3" xfId="3954" xr:uid="{00000000-0005-0000-0000-00008A0F0000}"/>
    <cellStyle name="Normal 11 2 7 2 4" xfId="5391" xr:uid="{00000000-0005-0000-0000-00008B0F0000}"/>
    <cellStyle name="Normal 11 2 7 2 5" xfId="6837" xr:uid="{00000000-0005-0000-0000-00008C0F0000}"/>
    <cellStyle name="Normal 11 2 7 2 6" xfId="8277" xr:uid="{00000000-0005-0000-0000-00008D0F0000}"/>
    <cellStyle name="Normal 11 2 7 2 7" xfId="9711" xr:uid="{00000000-0005-0000-0000-00008E0F0000}"/>
    <cellStyle name="Normal 11 2 7 3" xfId="1568" xr:uid="{00000000-0005-0000-0000-00008F0F0000}"/>
    <cellStyle name="Normal 11 2 7 3 2" xfId="3041" xr:uid="{00000000-0005-0000-0000-0000900F0000}"/>
    <cellStyle name="Normal 11 2 7 3 3" xfId="4478" xr:uid="{00000000-0005-0000-0000-0000910F0000}"/>
    <cellStyle name="Normal 11 2 7 3 4" xfId="5915" xr:uid="{00000000-0005-0000-0000-0000920F0000}"/>
    <cellStyle name="Normal 11 2 7 3 5" xfId="7361" xr:uid="{00000000-0005-0000-0000-0000930F0000}"/>
    <cellStyle name="Normal 11 2 7 3 6" xfId="8802" xr:uid="{00000000-0005-0000-0000-0000940F0000}"/>
    <cellStyle name="Normal 11 2 7 3 7" xfId="10235" xr:uid="{00000000-0005-0000-0000-0000950F0000}"/>
    <cellStyle name="Normal 11 2 7 4" xfId="2040" xr:uid="{00000000-0005-0000-0000-0000960F0000}"/>
    <cellStyle name="Normal 11 2 7 5" xfId="3497" xr:uid="{00000000-0005-0000-0000-0000970F0000}"/>
    <cellStyle name="Normal 11 2 7 6" xfId="4934" xr:uid="{00000000-0005-0000-0000-0000980F0000}"/>
    <cellStyle name="Normal 11 2 7 7" xfId="6380" xr:uid="{00000000-0005-0000-0000-0000990F0000}"/>
    <cellStyle name="Normal 11 2 7 8" xfId="7818" xr:uid="{00000000-0005-0000-0000-00009A0F0000}"/>
    <cellStyle name="Normal 11 2 7 9" xfId="9255" xr:uid="{00000000-0005-0000-0000-00009B0F0000}"/>
    <cellStyle name="Normal 11 2 8" xfId="679" xr:uid="{00000000-0005-0000-0000-00009C0F0000}"/>
    <cellStyle name="Normal 11 2 8 2" xfId="2170" xr:uid="{00000000-0005-0000-0000-00009D0F0000}"/>
    <cellStyle name="Normal 11 2 8 3" xfId="3627" xr:uid="{00000000-0005-0000-0000-00009E0F0000}"/>
    <cellStyle name="Normal 11 2 8 4" xfId="5064" xr:uid="{00000000-0005-0000-0000-00009F0F0000}"/>
    <cellStyle name="Normal 11 2 8 5" xfId="6510" xr:uid="{00000000-0005-0000-0000-0000A00F0000}"/>
    <cellStyle name="Normal 11 2 8 6" xfId="7949" xr:uid="{00000000-0005-0000-0000-0000A10F0000}"/>
    <cellStyle name="Normal 11 2 8 7" xfId="9384" xr:uid="{00000000-0005-0000-0000-0000A20F0000}"/>
    <cellStyle name="Normal 11 2 9" xfId="1170" xr:uid="{00000000-0005-0000-0000-0000A30F0000}"/>
    <cellStyle name="Normal 11 2 9 2" xfId="2649" xr:uid="{00000000-0005-0000-0000-0000A40F0000}"/>
    <cellStyle name="Normal 11 2 9 3" xfId="4086" xr:uid="{00000000-0005-0000-0000-0000A50F0000}"/>
    <cellStyle name="Normal 11 2 9 4" xfId="5523" xr:uid="{00000000-0005-0000-0000-0000A60F0000}"/>
    <cellStyle name="Normal 11 2 9 5" xfId="6969" xr:uid="{00000000-0005-0000-0000-0000A70F0000}"/>
    <cellStyle name="Normal 11 2 9 6" xfId="8410" xr:uid="{00000000-0005-0000-0000-0000A80F0000}"/>
    <cellStyle name="Normal 11 2 9 7" xfId="9843" xr:uid="{00000000-0005-0000-0000-0000A90F0000}"/>
    <cellStyle name="Normal 11 3" xfId="153" xr:uid="{00000000-0005-0000-0000-0000AA0F0000}"/>
    <cellStyle name="Normal 11 3 10" xfId="1723" xr:uid="{00000000-0005-0000-0000-0000AB0F0000}"/>
    <cellStyle name="Normal 11 3 11" xfId="3180" xr:uid="{00000000-0005-0000-0000-0000AC0F0000}"/>
    <cellStyle name="Normal 11 3 12" xfId="4617" xr:uid="{00000000-0005-0000-0000-0000AD0F0000}"/>
    <cellStyle name="Normal 11 3 13" xfId="6063" xr:uid="{00000000-0005-0000-0000-0000AE0F0000}"/>
    <cellStyle name="Normal 11 3 14" xfId="7501" xr:uid="{00000000-0005-0000-0000-0000AF0F0000}"/>
    <cellStyle name="Normal 11 3 15" xfId="8941" xr:uid="{00000000-0005-0000-0000-0000B00F0000}"/>
    <cellStyle name="Normal 11 3 2" xfId="238" xr:uid="{00000000-0005-0000-0000-0000B10F0000}"/>
    <cellStyle name="Normal 11 3 2 10" xfId="3212" xr:uid="{00000000-0005-0000-0000-0000B20F0000}"/>
    <cellStyle name="Normal 11 3 2 11" xfId="4649" xr:uid="{00000000-0005-0000-0000-0000B30F0000}"/>
    <cellStyle name="Normal 11 3 2 12" xfId="6095" xr:uid="{00000000-0005-0000-0000-0000B40F0000}"/>
    <cellStyle name="Normal 11 3 2 13" xfId="7533" xr:uid="{00000000-0005-0000-0000-0000B50F0000}"/>
    <cellStyle name="Normal 11 3 2 14" xfId="8973" xr:uid="{00000000-0005-0000-0000-0000B60F0000}"/>
    <cellStyle name="Normal 11 3 2 2" xfId="306" xr:uid="{00000000-0005-0000-0000-0000B70F0000}"/>
    <cellStyle name="Normal 11 3 2 2 10" xfId="7598" xr:uid="{00000000-0005-0000-0000-0000B80F0000}"/>
    <cellStyle name="Normal 11 3 2 2 11" xfId="9037" xr:uid="{00000000-0005-0000-0000-0000B90F0000}"/>
    <cellStyle name="Normal 11 3 2 2 2" xfId="444" xr:uid="{00000000-0005-0000-0000-0000BA0F0000}"/>
    <cellStyle name="Normal 11 3 2 2 2 2" xfId="926" xr:uid="{00000000-0005-0000-0000-0000BB0F0000}"/>
    <cellStyle name="Normal 11 3 2 2 2 2 2" xfId="2417" xr:uid="{00000000-0005-0000-0000-0000BC0F0000}"/>
    <cellStyle name="Normal 11 3 2 2 2 2 3" xfId="3864" xr:uid="{00000000-0005-0000-0000-0000BD0F0000}"/>
    <cellStyle name="Normal 11 3 2 2 2 2 4" xfId="5301" xr:uid="{00000000-0005-0000-0000-0000BE0F0000}"/>
    <cellStyle name="Normal 11 3 2 2 2 2 5" xfId="6747" xr:uid="{00000000-0005-0000-0000-0000BF0F0000}"/>
    <cellStyle name="Normal 11 3 2 2 2 2 6" xfId="8187" xr:uid="{00000000-0005-0000-0000-0000C00F0000}"/>
    <cellStyle name="Normal 11 3 2 2 2 2 7" xfId="9621" xr:uid="{00000000-0005-0000-0000-0000C10F0000}"/>
    <cellStyle name="Normal 11 3 2 2 2 3" xfId="1478" xr:uid="{00000000-0005-0000-0000-0000C20F0000}"/>
    <cellStyle name="Normal 11 3 2 2 2 3 2" xfId="2951" xr:uid="{00000000-0005-0000-0000-0000C30F0000}"/>
    <cellStyle name="Normal 11 3 2 2 2 3 3" xfId="4388" xr:uid="{00000000-0005-0000-0000-0000C40F0000}"/>
    <cellStyle name="Normal 11 3 2 2 2 3 4" xfId="5825" xr:uid="{00000000-0005-0000-0000-0000C50F0000}"/>
    <cellStyle name="Normal 11 3 2 2 2 3 5" xfId="7271" xr:uid="{00000000-0005-0000-0000-0000C60F0000}"/>
    <cellStyle name="Normal 11 3 2 2 2 3 6" xfId="8712" xr:uid="{00000000-0005-0000-0000-0000C70F0000}"/>
    <cellStyle name="Normal 11 3 2 2 2 3 7" xfId="10145" xr:uid="{00000000-0005-0000-0000-0000C80F0000}"/>
    <cellStyle name="Normal 11 3 2 2 2 4" xfId="1950" xr:uid="{00000000-0005-0000-0000-0000C90F0000}"/>
    <cellStyle name="Normal 11 3 2 2 2 5" xfId="3407" xr:uid="{00000000-0005-0000-0000-0000CA0F0000}"/>
    <cellStyle name="Normal 11 3 2 2 2 6" xfId="4844" xr:uid="{00000000-0005-0000-0000-0000CB0F0000}"/>
    <cellStyle name="Normal 11 3 2 2 2 7" xfId="6290" xr:uid="{00000000-0005-0000-0000-0000CC0F0000}"/>
    <cellStyle name="Normal 11 3 2 2 2 8" xfId="7728" xr:uid="{00000000-0005-0000-0000-0000CD0F0000}"/>
    <cellStyle name="Normal 11 3 2 2 2 9" xfId="9165" xr:uid="{00000000-0005-0000-0000-0000CE0F0000}"/>
    <cellStyle name="Normal 11 3 2 2 3" xfId="648" xr:uid="{00000000-0005-0000-0000-0000CF0F0000}"/>
    <cellStyle name="Normal 11 3 2 2 3 2" xfId="1127" xr:uid="{00000000-0005-0000-0000-0000D00F0000}"/>
    <cellStyle name="Normal 11 3 2 2 3 2 2" xfId="2618" xr:uid="{00000000-0005-0000-0000-0000D10F0000}"/>
    <cellStyle name="Normal 11 3 2 2 3 2 3" xfId="4061" xr:uid="{00000000-0005-0000-0000-0000D20F0000}"/>
    <cellStyle name="Normal 11 3 2 2 3 2 4" xfId="5498" xr:uid="{00000000-0005-0000-0000-0000D30F0000}"/>
    <cellStyle name="Normal 11 3 2 2 3 2 5" xfId="6944" xr:uid="{00000000-0005-0000-0000-0000D40F0000}"/>
    <cellStyle name="Normal 11 3 2 2 3 2 6" xfId="8384" xr:uid="{00000000-0005-0000-0000-0000D50F0000}"/>
    <cellStyle name="Normal 11 3 2 2 3 2 7" xfId="9818" xr:uid="{00000000-0005-0000-0000-0000D60F0000}"/>
    <cellStyle name="Normal 11 3 2 2 3 3" xfId="1677" xr:uid="{00000000-0005-0000-0000-0000D70F0000}"/>
    <cellStyle name="Normal 11 3 2 2 3 3 2" xfId="3148" xr:uid="{00000000-0005-0000-0000-0000D80F0000}"/>
    <cellStyle name="Normal 11 3 2 2 3 3 3" xfId="4585" xr:uid="{00000000-0005-0000-0000-0000D90F0000}"/>
    <cellStyle name="Normal 11 3 2 2 3 3 4" xfId="6022" xr:uid="{00000000-0005-0000-0000-0000DA0F0000}"/>
    <cellStyle name="Normal 11 3 2 2 3 3 5" xfId="7468" xr:uid="{00000000-0005-0000-0000-0000DB0F0000}"/>
    <cellStyle name="Normal 11 3 2 2 3 3 6" xfId="8909" xr:uid="{00000000-0005-0000-0000-0000DC0F0000}"/>
    <cellStyle name="Normal 11 3 2 2 3 3 7" xfId="10342" xr:uid="{00000000-0005-0000-0000-0000DD0F0000}"/>
    <cellStyle name="Normal 11 3 2 2 3 4" xfId="2147" xr:uid="{00000000-0005-0000-0000-0000DE0F0000}"/>
    <cellStyle name="Normal 11 3 2 2 3 5" xfId="3604" xr:uid="{00000000-0005-0000-0000-0000DF0F0000}"/>
    <cellStyle name="Normal 11 3 2 2 3 6" xfId="5041" xr:uid="{00000000-0005-0000-0000-0000E00F0000}"/>
    <cellStyle name="Normal 11 3 2 2 3 7" xfId="6487" xr:uid="{00000000-0005-0000-0000-0000E10F0000}"/>
    <cellStyle name="Normal 11 3 2 2 3 8" xfId="7926" xr:uid="{00000000-0005-0000-0000-0000E20F0000}"/>
    <cellStyle name="Normal 11 3 2 2 3 9" xfId="9361" xr:uid="{00000000-0005-0000-0000-0000E30F0000}"/>
    <cellStyle name="Normal 11 3 2 2 4" xfId="790" xr:uid="{00000000-0005-0000-0000-0000E40F0000}"/>
    <cellStyle name="Normal 11 3 2 2 4 2" xfId="2281" xr:uid="{00000000-0005-0000-0000-0000E50F0000}"/>
    <cellStyle name="Normal 11 3 2 2 4 3" xfId="3734" xr:uid="{00000000-0005-0000-0000-0000E60F0000}"/>
    <cellStyle name="Normal 11 3 2 2 4 4" xfId="5171" xr:uid="{00000000-0005-0000-0000-0000E70F0000}"/>
    <cellStyle name="Normal 11 3 2 2 4 5" xfId="6617" xr:uid="{00000000-0005-0000-0000-0000E80F0000}"/>
    <cellStyle name="Normal 11 3 2 2 4 6" xfId="8057" xr:uid="{00000000-0005-0000-0000-0000E90F0000}"/>
    <cellStyle name="Normal 11 3 2 2 4 7" xfId="9491" xr:uid="{00000000-0005-0000-0000-0000EA0F0000}"/>
    <cellStyle name="Normal 11 3 2 2 5" xfId="1346" xr:uid="{00000000-0005-0000-0000-0000EB0F0000}"/>
    <cellStyle name="Normal 11 3 2 2 5 2" xfId="2821" xr:uid="{00000000-0005-0000-0000-0000EC0F0000}"/>
    <cellStyle name="Normal 11 3 2 2 5 3" xfId="4258" xr:uid="{00000000-0005-0000-0000-0000ED0F0000}"/>
    <cellStyle name="Normal 11 3 2 2 5 4" xfId="5695" xr:uid="{00000000-0005-0000-0000-0000EE0F0000}"/>
    <cellStyle name="Normal 11 3 2 2 5 5" xfId="7141" xr:uid="{00000000-0005-0000-0000-0000EF0F0000}"/>
    <cellStyle name="Normal 11 3 2 2 5 6" xfId="8582" xr:uid="{00000000-0005-0000-0000-0000F00F0000}"/>
    <cellStyle name="Normal 11 3 2 2 5 7" xfId="10015" xr:uid="{00000000-0005-0000-0000-0000F10F0000}"/>
    <cellStyle name="Normal 11 3 2 2 6" xfId="1820" xr:uid="{00000000-0005-0000-0000-0000F20F0000}"/>
    <cellStyle name="Normal 11 3 2 2 7" xfId="3277" xr:uid="{00000000-0005-0000-0000-0000F30F0000}"/>
    <cellStyle name="Normal 11 3 2 2 8" xfId="4714" xr:uid="{00000000-0005-0000-0000-0000F40F0000}"/>
    <cellStyle name="Normal 11 3 2 2 9" xfId="6160" xr:uid="{00000000-0005-0000-0000-0000F50F0000}"/>
    <cellStyle name="Normal 11 3 2 3" xfId="375" xr:uid="{00000000-0005-0000-0000-0000F60F0000}"/>
    <cellStyle name="Normal 11 3 2 3 2" xfId="857" xr:uid="{00000000-0005-0000-0000-0000F70F0000}"/>
    <cellStyle name="Normal 11 3 2 3 2 2" xfId="2348" xr:uid="{00000000-0005-0000-0000-0000F80F0000}"/>
    <cellStyle name="Normal 11 3 2 3 2 3" xfId="3799" xr:uid="{00000000-0005-0000-0000-0000F90F0000}"/>
    <cellStyle name="Normal 11 3 2 3 2 4" xfId="5236" xr:uid="{00000000-0005-0000-0000-0000FA0F0000}"/>
    <cellStyle name="Normal 11 3 2 3 2 5" xfId="6682" xr:uid="{00000000-0005-0000-0000-0000FB0F0000}"/>
    <cellStyle name="Normal 11 3 2 3 2 6" xfId="8122" xr:uid="{00000000-0005-0000-0000-0000FC0F0000}"/>
    <cellStyle name="Normal 11 3 2 3 2 7" xfId="9556" xr:uid="{00000000-0005-0000-0000-0000FD0F0000}"/>
    <cellStyle name="Normal 11 3 2 3 3" xfId="1411" xr:uid="{00000000-0005-0000-0000-0000FE0F0000}"/>
    <cellStyle name="Normal 11 3 2 3 3 2" xfId="2886" xr:uid="{00000000-0005-0000-0000-0000FF0F0000}"/>
    <cellStyle name="Normal 11 3 2 3 3 3" xfId="4323" xr:uid="{00000000-0005-0000-0000-000000100000}"/>
    <cellStyle name="Normal 11 3 2 3 3 4" xfId="5760" xr:uid="{00000000-0005-0000-0000-000001100000}"/>
    <cellStyle name="Normal 11 3 2 3 3 5" xfId="7206" xr:uid="{00000000-0005-0000-0000-000002100000}"/>
    <cellStyle name="Normal 11 3 2 3 3 6" xfId="8647" xr:uid="{00000000-0005-0000-0000-000003100000}"/>
    <cellStyle name="Normal 11 3 2 3 3 7" xfId="10080" xr:uid="{00000000-0005-0000-0000-000004100000}"/>
    <cellStyle name="Normal 11 3 2 3 4" xfId="1885" xr:uid="{00000000-0005-0000-0000-000005100000}"/>
    <cellStyle name="Normal 11 3 2 3 5" xfId="3342" xr:uid="{00000000-0005-0000-0000-000006100000}"/>
    <cellStyle name="Normal 11 3 2 3 6" xfId="4779" xr:uid="{00000000-0005-0000-0000-000007100000}"/>
    <cellStyle name="Normal 11 3 2 3 7" xfId="6225" xr:uid="{00000000-0005-0000-0000-000008100000}"/>
    <cellStyle name="Normal 11 3 2 3 8" xfId="7663" xr:uid="{00000000-0005-0000-0000-000009100000}"/>
    <cellStyle name="Normal 11 3 2 3 9" xfId="9100" xr:uid="{00000000-0005-0000-0000-00000A100000}"/>
    <cellStyle name="Normal 11 3 2 4" xfId="514" xr:uid="{00000000-0005-0000-0000-00000B100000}"/>
    <cellStyle name="Normal 11 3 2 4 2" xfId="993" xr:uid="{00000000-0005-0000-0000-00000C100000}"/>
    <cellStyle name="Normal 11 3 2 4 2 2" xfId="2484" xr:uid="{00000000-0005-0000-0000-00000D100000}"/>
    <cellStyle name="Normal 11 3 2 4 2 3" xfId="3931" xr:uid="{00000000-0005-0000-0000-00000E100000}"/>
    <cellStyle name="Normal 11 3 2 4 2 4" xfId="5368" xr:uid="{00000000-0005-0000-0000-00000F100000}"/>
    <cellStyle name="Normal 11 3 2 4 2 5" xfId="6814" xr:uid="{00000000-0005-0000-0000-000010100000}"/>
    <cellStyle name="Normal 11 3 2 4 2 6" xfId="8254" xr:uid="{00000000-0005-0000-0000-000011100000}"/>
    <cellStyle name="Normal 11 3 2 4 2 7" xfId="9688" xr:uid="{00000000-0005-0000-0000-000012100000}"/>
    <cellStyle name="Normal 11 3 2 4 3" xfId="1545" xr:uid="{00000000-0005-0000-0000-000013100000}"/>
    <cellStyle name="Normal 11 3 2 4 3 2" xfId="3018" xr:uid="{00000000-0005-0000-0000-000014100000}"/>
    <cellStyle name="Normal 11 3 2 4 3 3" xfId="4455" xr:uid="{00000000-0005-0000-0000-000015100000}"/>
    <cellStyle name="Normal 11 3 2 4 3 4" xfId="5892" xr:uid="{00000000-0005-0000-0000-000016100000}"/>
    <cellStyle name="Normal 11 3 2 4 3 5" xfId="7338" xr:uid="{00000000-0005-0000-0000-000017100000}"/>
    <cellStyle name="Normal 11 3 2 4 3 6" xfId="8779" xr:uid="{00000000-0005-0000-0000-000018100000}"/>
    <cellStyle name="Normal 11 3 2 4 3 7" xfId="10212" xr:uid="{00000000-0005-0000-0000-000019100000}"/>
    <cellStyle name="Normal 11 3 2 4 4" xfId="2017" xr:uid="{00000000-0005-0000-0000-00001A100000}"/>
    <cellStyle name="Normal 11 3 2 4 5" xfId="3474" xr:uid="{00000000-0005-0000-0000-00001B100000}"/>
    <cellStyle name="Normal 11 3 2 4 6" xfId="4911" xr:uid="{00000000-0005-0000-0000-00001C100000}"/>
    <cellStyle name="Normal 11 3 2 4 7" xfId="6357" xr:uid="{00000000-0005-0000-0000-00001D100000}"/>
    <cellStyle name="Normal 11 3 2 4 8" xfId="7795" xr:uid="{00000000-0005-0000-0000-00001E100000}"/>
    <cellStyle name="Normal 11 3 2 4 9" xfId="9232" xr:uid="{00000000-0005-0000-0000-00001F100000}"/>
    <cellStyle name="Normal 11 3 2 5" xfId="579" xr:uid="{00000000-0005-0000-0000-000020100000}"/>
    <cellStyle name="Normal 11 3 2 5 2" xfId="1058" xr:uid="{00000000-0005-0000-0000-000021100000}"/>
    <cellStyle name="Normal 11 3 2 5 2 2" xfId="2549" xr:uid="{00000000-0005-0000-0000-000022100000}"/>
    <cellStyle name="Normal 11 3 2 5 2 3" xfId="3996" xr:uid="{00000000-0005-0000-0000-000023100000}"/>
    <cellStyle name="Normal 11 3 2 5 2 4" xfId="5433" xr:uid="{00000000-0005-0000-0000-000024100000}"/>
    <cellStyle name="Normal 11 3 2 5 2 5" xfId="6879" xr:uid="{00000000-0005-0000-0000-000025100000}"/>
    <cellStyle name="Normal 11 3 2 5 2 6" xfId="8319" xr:uid="{00000000-0005-0000-0000-000026100000}"/>
    <cellStyle name="Normal 11 3 2 5 2 7" xfId="9753" xr:uid="{00000000-0005-0000-0000-000027100000}"/>
    <cellStyle name="Normal 11 3 2 5 3" xfId="1610" xr:uid="{00000000-0005-0000-0000-000028100000}"/>
    <cellStyle name="Normal 11 3 2 5 3 2" xfId="3083" xr:uid="{00000000-0005-0000-0000-000029100000}"/>
    <cellStyle name="Normal 11 3 2 5 3 3" xfId="4520" xr:uid="{00000000-0005-0000-0000-00002A100000}"/>
    <cellStyle name="Normal 11 3 2 5 3 4" xfId="5957" xr:uid="{00000000-0005-0000-0000-00002B100000}"/>
    <cellStyle name="Normal 11 3 2 5 3 5" xfId="7403" xr:uid="{00000000-0005-0000-0000-00002C100000}"/>
    <cellStyle name="Normal 11 3 2 5 3 6" xfId="8844" xr:uid="{00000000-0005-0000-0000-00002D100000}"/>
    <cellStyle name="Normal 11 3 2 5 3 7" xfId="10277" xr:uid="{00000000-0005-0000-0000-00002E100000}"/>
    <cellStyle name="Normal 11 3 2 5 4" xfId="2082" xr:uid="{00000000-0005-0000-0000-00002F100000}"/>
    <cellStyle name="Normal 11 3 2 5 5" xfId="3539" xr:uid="{00000000-0005-0000-0000-000030100000}"/>
    <cellStyle name="Normal 11 3 2 5 6" xfId="4976" xr:uid="{00000000-0005-0000-0000-000031100000}"/>
    <cellStyle name="Normal 11 3 2 5 7" xfId="6422" xr:uid="{00000000-0005-0000-0000-000032100000}"/>
    <cellStyle name="Normal 11 3 2 5 8" xfId="7860" xr:uid="{00000000-0005-0000-0000-000033100000}"/>
    <cellStyle name="Normal 11 3 2 5 9" xfId="9296" xr:uid="{00000000-0005-0000-0000-000034100000}"/>
    <cellStyle name="Normal 11 3 2 6" xfId="721" xr:uid="{00000000-0005-0000-0000-000035100000}"/>
    <cellStyle name="Normal 11 3 2 6 2" xfId="2212" xr:uid="{00000000-0005-0000-0000-000036100000}"/>
    <cellStyle name="Normal 11 3 2 6 3" xfId="3669" xr:uid="{00000000-0005-0000-0000-000037100000}"/>
    <cellStyle name="Normal 11 3 2 6 4" xfId="5106" xr:uid="{00000000-0005-0000-0000-000038100000}"/>
    <cellStyle name="Normal 11 3 2 6 5" xfId="6552" xr:uid="{00000000-0005-0000-0000-000039100000}"/>
    <cellStyle name="Normal 11 3 2 6 6" xfId="7991" xr:uid="{00000000-0005-0000-0000-00003A100000}"/>
    <cellStyle name="Normal 11 3 2 6 7" xfId="9426" xr:uid="{00000000-0005-0000-0000-00003B100000}"/>
    <cellStyle name="Normal 11 3 2 7" xfId="1212" xr:uid="{00000000-0005-0000-0000-00003C100000}"/>
    <cellStyle name="Normal 11 3 2 7 2" xfId="2691" xr:uid="{00000000-0005-0000-0000-00003D100000}"/>
    <cellStyle name="Normal 11 3 2 7 3" xfId="4128" xr:uid="{00000000-0005-0000-0000-00003E100000}"/>
    <cellStyle name="Normal 11 3 2 7 4" xfId="5565" xr:uid="{00000000-0005-0000-0000-00003F100000}"/>
    <cellStyle name="Normal 11 3 2 7 5" xfId="7011" xr:uid="{00000000-0005-0000-0000-000040100000}"/>
    <cellStyle name="Normal 11 3 2 7 6" xfId="8452" xr:uid="{00000000-0005-0000-0000-000041100000}"/>
    <cellStyle name="Normal 11 3 2 7 7" xfId="9885" xr:uid="{00000000-0005-0000-0000-000042100000}"/>
    <cellStyle name="Normal 11 3 2 8" xfId="1277" xr:uid="{00000000-0005-0000-0000-000043100000}"/>
    <cellStyle name="Normal 11 3 2 8 2" xfId="2756" xr:uid="{00000000-0005-0000-0000-000044100000}"/>
    <cellStyle name="Normal 11 3 2 8 3" xfId="4193" xr:uid="{00000000-0005-0000-0000-000045100000}"/>
    <cellStyle name="Normal 11 3 2 8 4" xfId="5630" xr:uid="{00000000-0005-0000-0000-000046100000}"/>
    <cellStyle name="Normal 11 3 2 8 5" xfId="7076" xr:uid="{00000000-0005-0000-0000-000047100000}"/>
    <cellStyle name="Normal 11 3 2 8 6" xfId="8517" xr:uid="{00000000-0005-0000-0000-000048100000}"/>
    <cellStyle name="Normal 11 3 2 8 7" xfId="9950" xr:uid="{00000000-0005-0000-0000-000049100000}"/>
    <cellStyle name="Normal 11 3 2 9" xfId="1755" xr:uid="{00000000-0005-0000-0000-00004A100000}"/>
    <cellStyle name="Normal 11 3 3" xfId="274" xr:uid="{00000000-0005-0000-0000-00004B100000}"/>
    <cellStyle name="Normal 11 3 3 10" xfId="7566" xr:uid="{00000000-0005-0000-0000-00004C100000}"/>
    <cellStyle name="Normal 11 3 3 11" xfId="9005" xr:uid="{00000000-0005-0000-0000-00004D100000}"/>
    <cellStyle name="Normal 11 3 3 2" xfId="412" xr:uid="{00000000-0005-0000-0000-00004E100000}"/>
    <cellStyle name="Normal 11 3 3 2 2" xfId="894" xr:uid="{00000000-0005-0000-0000-00004F100000}"/>
    <cellStyle name="Normal 11 3 3 2 2 2" xfId="2385" xr:uid="{00000000-0005-0000-0000-000050100000}"/>
    <cellStyle name="Normal 11 3 3 2 2 3" xfId="3832" xr:uid="{00000000-0005-0000-0000-000051100000}"/>
    <cellStyle name="Normal 11 3 3 2 2 4" xfId="5269" xr:uid="{00000000-0005-0000-0000-000052100000}"/>
    <cellStyle name="Normal 11 3 3 2 2 5" xfId="6715" xr:uid="{00000000-0005-0000-0000-000053100000}"/>
    <cellStyle name="Normal 11 3 3 2 2 6" xfId="8155" xr:uid="{00000000-0005-0000-0000-000054100000}"/>
    <cellStyle name="Normal 11 3 3 2 2 7" xfId="9589" xr:uid="{00000000-0005-0000-0000-000055100000}"/>
    <cellStyle name="Normal 11 3 3 2 3" xfId="1446" xr:uid="{00000000-0005-0000-0000-000056100000}"/>
    <cellStyle name="Normal 11 3 3 2 3 2" xfId="2919" xr:uid="{00000000-0005-0000-0000-000057100000}"/>
    <cellStyle name="Normal 11 3 3 2 3 3" xfId="4356" xr:uid="{00000000-0005-0000-0000-000058100000}"/>
    <cellStyle name="Normal 11 3 3 2 3 4" xfId="5793" xr:uid="{00000000-0005-0000-0000-000059100000}"/>
    <cellStyle name="Normal 11 3 3 2 3 5" xfId="7239" xr:uid="{00000000-0005-0000-0000-00005A100000}"/>
    <cellStyle name="Normal 11 3 3 2 3 6" xfId="8680" xr:uid="{00000000-0005-0000-0000-00005B100000}"/>
    <cellStyle name="Normal 11 3 3 2 3 7" xfId="10113" xr:uid="{00000000-0005-0000-0000-00005C100000}"/>
    <cellStyle name="Normal 11 3 3 2 4" xfId="1918" xr:uid="{00000000-0005-0000-0000-00005D100000}"/>
    <cellStyle name="Normal 11 3 3 2 5" xfId="3375" xr:uid="{00000000-0005-0000-0000-00005E100000}"/>
    <cellStyle name="Normal 11 3 3 2 6" xfId="4812" xr:uid="{00000000-0005-0000-0000-00005F100000}"/>
    <cellStyle name="Normal 11 3 3 2 7" xfId="6258" xr:uid="{00000000-0005-0000-0000-000060100000}"/>
    <cellStyle name="Normal 11 3 3 2 8" xfId="7696" xr:uid="{00000000-0005-0000-0000-000061100000}"/>
    <cellStyle name="Normal 11 3 3 2 9" xfId="9133" xr:uid="{00000000-0005-0000-0000-000062100000}"/>
    <cellStyle name="Normal 11 3 3 3" xfId="616" xr:uid="{00000000-0005-0000-0000-000063100000}"/>
    <cellStyle name="Normal 11 3 3 3 2" xfId="1095" xr:uid="{00000000-0005-0000-0000-000064100000}"/>
    <cellStyle name="Normal 11 3 3 3 2 2" xfId="2586" xr:uid="{00000000-0005-0000-0000-000065100000}"/>
    <cellStyle name="Normal 11 3 3 3 2 3" xfId="4029" xr:uid="{00000000-0005-0000-0000-000066100000}"/>
    <cellStyle name="Normal 11 3 3 3 2 4" xfId="5466" xr:uid="{00000000-0005-0000-0000-000067100000}"/>
    <cellStyle name="Normal 11 3 3 3 2 5" xfId="6912" xr:uid="{00000000-0005-0000-0000-000068100000}"/>
    <cellStyle name="Normal 11 3 3 3 2 6" xfId="8352" xr:uid="{00000000-0005-0000-0000-000069100000}"/>
    <cellStyle name="Normal 11 3 3 3 2 7" xfId="9786" xr:uid="{00000000-0005-0000-0000-00006A100000}"/>
    <cellStyle name="Normal 11 3 3 3 3" xfId="1645" xr:uid="{00000000-0005-0000-0000-00006B100000}"/>
    <cellStyle name="Normal 11 3 3 3 3 2" xfId="3116" xr:uid="{00000000-0005-0000-0000-00006C100000}"/>
    <cellStyle name="Normal 11 3 3 3 3 3" xfId="4553" xr:uid="{00000000-0005-0000-0000-00006D100000}"/>
    <cellStyle name="Normal 11 3 3 3 3 4" xfId="5990" xr:uid="{00000000-0005-0000-0000-00006E100000}"/>
    <cellStyle name="Normal 11 3 3 3 3 5" xfId="7436" xr:uid="{00000000-0005-0000-0000-00006F100000}"/>
    <cellStyle name="Normal 11 3 3 3 3 6" xfId="8877" xr:uid="{00000000-0005-0000-0000-000070100000}"/>
    <cellStyle name="Normal 11 3 3 3 3 7" xfId="10310" xr:uid="{00000000-0005-0000-0000-000071100000}"/>
    <cellStyle name="Normal 11 3 3 3 4" xfId="2115" xr:uid="{00000000-0005-0000-0000-000072100000}"/>
    <cellStyle name="Normal 11 3 3 3 5" xfId="3572" xr:uid="{00000000-0005-0000-0000-000073100000}"/>
    <cellStyle name="Normal 11 3 3 3 6" xfId="5009" xr:uid="{00000000-0005-0000-0000-000074100000}"/>
    <cellStyle name="Normal 11 3 3 3 7" xfId="6455" xr:uid="{00000000-0005-0000-0000-000075100000}"/>
    <cellStyle name="Normal 11 3 3 3 8" xfId="7894" xr:uid="{00000000-0005-0000-0000-000076100000}"/>
    <cellStyle name="Normal 11 3 3 3 9" xfId="9329" xr:uid="{00000000-0005-0000-0000-000077100000}"/>
    <cellStyle name="Normal 11 3 3 4" xfId="758" xr:uid="{00000000-0005-0000-0000-000078100000}"/>
    <cellStyle name="Normal 11 3 3 4 2" xfId="2249" xr:uid="{00000000-0005-0000-0000-000079100000}"/>
    <cellStyle name="Normal 11 3 3 4 3" xfId="3702" xr:uid="{00000000-0005-0000-0000-00007A100000}"/>
    <cellStyle name="Normal 11 3 3 4 4" xfId="5139" xr:uid="{00000000-0005-0000-0000-00007B100000}"/>
    <cellStyle name="Normal 11 3 3 4 5" xfId="6585" xr:uid="{00000000-0005-0000-0000-00007C100000}"/>
    <cellStyle name="Normal 11 3 3 4 6" xfId="8025" xr:uid="{00000000-0005-0000-0000-00007D100000}"/>
    <cellStyle name="Normal 11 3 3 4 7" xfId="9459" xr:uid="{00000000-0005-0000-0000-00007E100000}"/>
    <cellStyle name="Normal 11 3 3 5" xfId="1314" xr:uid="{00000000-0005-0000-0000-00007F100000}"/>
    <cellStyle name="Normal 11 3 3 5 2" xfId="2789" xr:uid="{00000000-0005-0000-0000-000080100000}"/>
    <cellStyle name="Normal 11 3 3 5 3" xfId="4226" xr:uid="{00000000-0005-0000-0000-000081100000}"/>
    <cellStyle name="Normal 11 3 3 5 4" xfId="5663" xr:uid="{00000000-0005-0000-0000-000082100000}"/>
    <cellStyle name="Normal 11 3 3 5 5" xfId="7109" xr:uid="{00000000-0005-0000-0000-000083100000}"/>
    <cellStyle name="Normal 11 3 3 5 6" xfId="8550" xr:uid="{00000000-0005-0000-0000-000084100000}"/>
    <cellStyle name="Normal 11 3 3 5 7" xfId="9983" xr:uid="{00000000-0005-0000-0000-000085100000}"/>
    <cellStyle name="Normal 11 3 3 6" xfId="1788" xr:uid="{00000000-0005-0000-0000-000086100000}"/>
    <cellStyle name="Normal 11 3 3 7" xfId="3245" xr:uid="{00000000-0005-0000-0000-000087100000}"/>
    <cellStyle name="Normal 11 3 3 8" xfId="4682" xr:uid="{00000000-0005-0000-0000-000088100000}"/>
    <cellStyle name="Normal 11 3 3 9" xfId="6128" xr:uid="{00000000-0005-0000-0000-000089100000}"/>
    <cellStyle name="Normal 11 3 4" xfId="343" xr:uid="{00000000-0005-0000-0000-00008A100000}"/>
    <cellStyle name="Normal 11 3 4 2" xfId="825" xr:uid="{00000000-0005-0000-0000-00008B100000}"/>
    <cellStyle name="Normal 11 3 4 2 2" xfId="2316" xr:uid="{00000000-0005-0000-0000-00008C100000}"/>
    <cellStyle name="Normal 11 3 4 2 3" xfId="3767" xr:uid="{00000000-0005-0000-0000-00008D100000}"/>
    <cellStyle name="Normal 11 3 4 2 4" xfId="5204" xr:uid="{00000000-0005-0000-0000-00008E100000}"/>
    <cellStyle name="Normal 11 3 4 2 5" xfId="6650" xr:uid="{00000000-0005-0000-0000-00008F100000}"/>
    <cellStyle name="Normal 11 3 4 2 6" xfId="8090" xr:uid="{00000000-0005-0000-0000-000090100000}"/>
    <cellStyle name="Normal 11 3 4 2 7" xfId="9524" xr:uid="{00000000-0005-0000-0000-000091100000}"/>
    <cellStyle name="Normal 11 3 4 3" xfId="1379" xr:uid="{00000000-0005-0000-0000-000092100000}"/>
    <cellStyle name="Normal 11 3 4 3 2" xfId="2854" xr:uid="{00000000-0005-0000-0000-000093100000}"/>
    <cellStyle name="Normal 11 3 4 3 3" xfId="4291" xr:uid="{00000000-0005-0000-0000-000094100000}"/>
    <cellStyle name="Normal 11 3 4 3 4" xfId="5728" xr:uid="{00000000-0005-0000-0000-000095100000}"/>
    <cellStyle name="Normal 11 3 4 3 5" xfId="7174" xr:uid="{00000000-0005-0000-0000-000096100000}"/>
    <cellStyle name="Normal 11 3 4 3 6" xfId="8615" xr:uid="{00000000-0005-0000-0000-000097100000}"/>
    <cellStyle name="Normal 11 3 4 3 7" xfId="10048" xr:uid="{00000000-0005-0000-0000-000098100000}"/>
    <cellStyle name="Normal 11 3 4 4" xfId="1853" xr:uid="{00000000-0005-0000-0000-000099100000}"/>
    <cellStyle name="Normal 11 3 4 5" xfId="3310" xr:uid="{00000000-0005-0000-0000-00009A100000}"/>
    <cellStyle name="Normal 11 3 4 6" xfId="4747" xr:uid="{00000000-0005-0000-0000-00009B100000}"/>
    <cellStyle name="Normal 11 3 4 7" xfId="6193" xr:uid="{00000000-0005-0000-0000-00009C100000}"/>
    <cellStyle name="Normal 11 3 4 8" xfId="7631" xr:uid="{00000000-0005-0000-0000-00009D100000}"/>
    <cellStyle name="Normal 11 3 4 9" xfId="9068" xr:uid="{00000000-0005-0000-0000-00009E100000}"/>
    <cellStyle name="Normal 11 3 5" xfId="482" xr:uid="{00000000-0005-0000-0000-00009F100000}"/>
    <cellStyle name="Normal 11 3 5 2" xfId="961" xr:uid="{00000000-0005-0000-0000-0000A0100000}"/>
    <cellStyle name="Normal 11 3 5 2 2" xfId="2452" xr:uid="{00000000-0005-0000-0000-0000A1100000}"/>
    <cellStyle name="Normal 11 3 5 2 3" xfId="3899" xr:uid="{00000000-0005-0000-0000-0000A2100000}"/>
    <cellStyle name="Normal 11 3 5 2 4" xfId="5336" xr:uid="{00000000-0005-0000-0000-0000A3100000}"/>
    <cellStyle name="Normal 11 3 5 2 5" xfId="6782" xr:uid="{00000000-0005-0000-0000-0000A4100000}"/>
    <cellStyle name="Normal 11 3 5 2 6" xfId="8222" xr:uid="{00000000-0005-0000-0000-0000A5100000}"/>
    <cellStyle name="Normal 11 3 5 2 7" xfId="9656" xr:uid="{00000000-0005-0000-0000-0000A6100000}"/>
    <cellStyle name="Normal 11 3 5 3" xfId="1513" xr:uid="{00000000-0005-0000-0000-0000A7100000}"/>
    <cellStyle name="Normal 11 3 5 3 2" xfId="2986" xr:uid="{00000000-0005-0000-0000-0000A8100000}"/>
    <cellStyle name="Normal 11 3 5 3 3" xfId="4423" xr:uid="{00000000-0005-0000-0000-0000A9100000}"/>
    <cellStyle name="Normal 11 3 5 3 4" xfId="5860" xr:uid="{00000000-0005-0000-0000-0000AA100000}"/>
    <cellStyle name="Normal 11 3 5 3 5" xfId="7306" xr:uid="{00000000-0005-0000-0000-0000AB100000}"/>
    <cellStyle name="Normal 11 3 5 3 6" xfId="8747" xr:uid="{00000000-0005-0000-0000-0000AC100000}"/>
    <cellStyle name="Normal 11 3 5 3 7" xfId="10180" xr:uid="{00000000-0005-0000-0000-0000AD100000}"/>
    <cellStyle name="Normal 11 3 5 4" xfId="1985" xr:uid="{00000000-0005-0000-0000-0000AE100000}"/>
    <cellStyle name="Normal 11 3 5 5" xfId="3442" xr:uid="{00000000-0005-0000-0000-0000AF100000}"/>
    <cellStyle name="Normal 11 3 5 6" xfId="4879" xr:uid="{00000000-0005-0000-0000-0000B0100000}"/>
    <cellStyle name="Normal 11 3 5 7" xfId="6325" xr:uid="{00000000-0005-0000-0000-0000B1100000}"/>
    <cellStyle name="Normal 11 3 5 8" xfId="7763" xr:uid="{00000000-0005-0000-0000-0000B2100000}"/>
    <cellStyle name="Normal 11 3 5 9" xfId="9200" xr:uid="{00000000-0005-0000-0000-0000B3100000}"/>
    <cellStyle name="Normal 11 3 6" xfId="547" xr:uid="{00000000-0005-0000-0000-0000B4100000}"/>
    <cellStyle name="Normal 11 3 6 2" xfId="1026" xr:uid="{00000000-0005-0000-0000-0000B5100000}"/>
    <cellStyle name="Normal 11 3 6 2 2" xfId="2517" xr:uid="{00000000-0005-0000-0000-0000B6100000}"/>
    <cellStyle name="Normal 11 3 6 2 3" xfId="3964" xr:uid="{00000000-0005-0000-0000-0000B7100000}"/>
    <cellStyle name="Normal 11 3 6 2 4" xfId="5401" xr:uid="{00000000-0005-0000-0000-0000B8100000}"/>
    <cellStyle name="Normal 11 3 6 2 5" xfId="6847" xr:uid="{00000000-0005-0000-0000-0000B9100000}"/>
    <cellStyle name="Normal 11 3 6 2 6" xfId="8287" xr:uid="{00000000-0005-0000-0000-0000BA100000}"/>
    <cellStyle name="Normal 11 3 6 2 7" xfId="9721" xr:uid="{00000000-0005-0000-0000-0000BB100000}"/>
    <cellStyle name="Normal 11 3 6 3" xfId="1578" xr:uid="{00000000-0005-0000-0000-0000BC100000}"/>
    <cellStyle name="Normal 11 3 6 3 2" xfId="3051" xr:uid="{00000000-0005-0000-0000-0000BD100000}"/>
    <cellStyle name="Normal 11 3 6 3 3" xfId="4488" xr:uid="{00000000-0005-0000-0000-0000BE100000}"/>
    <cellStyle name="Normal 11 3 6 3 4" xfId="5925" xr:uid="{00000000-0005-0000-0000-0000BF100000}"/>
    <cellStyle name="Normal 11 3 6 3 5" xfId="7371" xr:uid="{00000000-0005-0000-0000-0000C0100000}"/>
    <cellStyle name="Normal 11 3 6 3 6" xfId="8812" xr:uid="{00000000-0005-0000-0000-0000C1100000}"/>
    <cellStyle name="Normal 11 3 6 3 7" xfId="10245" xr:uid="{00000000-0005-0000-0000-0000C2100000}"/>
    <cellStyle name="Normal 11 3 6 4" xfId="2050" xr:uid="{00000000-0005-0000-0000-0000C3100000}"/>
    <cellStyle name="Normal 11 3 6 5" xfId="3507" xr:uid="{00000000-0005-0000-0000-0000C4100000}"/>
    <cellStyle name="Normal 11 3 6 6" xfId="4944" xr:uid="{00000000-0005-0000-0000-0000C5100000}"/>
    <cellStyle name="Normal 11 3 6 7" xfId="6390" xr:uid="{00000000-0005-0000-0000-0000C6100000}"/>
    <cellStyle name="Normal 11 3 6 8" xfId="7828" xr:uid="{00000000-0005-0000-0000-0000C7100000}"/>
    <cellStyle name="Normal 11 3 6 9" xfId="9264" xr:uid="{00000000-0005-0000-0000-0000C8100000}"/>
    <cellStyle name="Normal 11 3 7" xfId="689" xr:uid="{00000000-0005-0000-0000-0000C9100000}"/>
    <cellStyle name="Normal 11 3 7 2" xfId="2180" xr:uid="{00000000-0005-0000-0000-0000CA100000}"/>
    <cellStyle name="Normal 11 3 7 3" xfId="3637" xr:uid="{00000000-0005-0000-0000-0000CB100000}"/>
    <cellStyle name="Normal 11 3 7 4" xfId="5074" xr:uid="{00000000-0005-0000-0000-0000CC100000}"/>
    <cellStyle name="Normal 11 3 7 5" xfId="6520" xr:uid="{00000000-0005-0000-0000-0000CD100000}"/>
    <cellStyle name="Normal 11 3 7 6" xfId="7959" xr:uid="{00000000-0005-0000-0000-0000CE100000}"/>
    <cellStyle name="Normal 11 3 7 7" xfId="9394" xr:uid="{00000000-0005-0000-0000-0000CF100000}"/>
    <cellStyle name="Normal 11 3 8" xfId="1180" xr:uid="{00000000-0005-0000-0000-0000D0100000}"/>
    <cellStyle name="Normal 11 3 8 2" xfId="2659" xr:uid="{00000000-0005-0000-0000-0000D1100000}"/>
    <cellStyle name="Normal 11 3 8 3" xfId="4096" xr:uid="{00000000-0005-0000-0000-0000D2100000}"/>
    <cellStyle name="Normal 11 3 8 4" xfId="5533" xr:uid="{00000000-0005-0000-0000-0000D3100000}"/>
    <cellStyle name="Normal 11 3 8 5" xfId="6979" xr:uid="{00000000-0005-0000-0000-0000D4100000}"/>
    <cellStyle name="Normal 11 3 8 6" xfId="8420" xr:uid="{00000000-0005-0000-0000-0000D5100000}"/>
    <cellStyle name="Normal 11 3 8 7" xfId="9853" xr:uid="{00000000-0005-0000-0000-0000D6100000}"/>
    <cellStyle name="Normal 11 3 9" xfId="1245" xr:uid="{00000000-0005-0000-0000-0000D7100000}"/>
    <cellStyle name="Normal 11 3 9 2" xfId="2724" xr:uid="{00000000-0005-0000-0000-0000D8100000}"/>
    <cellStyle name="Normal 11 3 9 3" xfId="4161" xr:uid="{00000000-0005-0000-0000-0000D9100000}"/>
    <cellStyle name="Normal 11 3 9 4" xfId="5598" xr:uid="{00000000-0005-0000-0000-0000DA100000}"/>
    <cellStyle name="Normal 11 3 9 5" xfId="7044" xr:uid="{00000000-0005-0000-0000-0000DB100000}"/>
    <cellStyle name="Normal 11 3 9 6" xfId="8485" xr:uid="{00000000-0005-0000-0000-0000DC100000}"/>
    <cellStyle name="Normal 11 3 9 7" xfId="9918" xr:uid="{00000000-0005-0000-0000-0000DD100000}"/>
    <cellStyle name="Normal 11 4" xfId="221" xr:uid="{00000000-0005-0000-0000-0000DE100000}"/>
    <cellStyle name="Normal 11 4 10" xfId="3196" xr:uid="{00000000-0005-0000-0000-0000DF100000}"/>
    <cellStyle name="Normal 11 4 11" xfId="4633" xr:uid="{00000000-0005-0000-0000-0000E0100000}"/>
    <cellStyle name="Normal 11 4 12" xfId="6079" xr:uid="{00000000-0005-0000-0000-0000E1100000}"/>
    <cellStyle name="Normal 11 4 13" xfId="7517" xr:uid="{00000000-0005-0000-0000-0000E2100000}"/>
    <cellStyle name="Normal 11 4 14" xfId="8957" xr:uid="{00000000-0005-0000-0000-0000E3100000}"/>
    <cellStyle name="Normal 11 4 2" xfId="290" xr:uid="{00000000-0005-0000-0000-0000E4100000}"/>
    <cellStyle name="Normal 11 4 2 10" xfId="7582" xr:uid="{00000000-0005-0000-0000-0000E5100000}"/>
    <cellStyle name="Normal 11 4 2 11" xfId="9021" xr:uid="{00000000-0005-0000-0000-0000E6100000}"/>
    <cellStyle name="Normal 11 4 2 2" xfId="428" xr:uid="{00000000-0005-0000-0000-0000E7100000}"/>
    <cellStyle name="Normal 11 4 2 2 2" xfId="910" xr:uid="{00000000-0005-0000-0000-0000E8100000}"/>
    <cellStyle name="Normal 11 4 2 2 2 2" xfId="2401" xr:uid="{00000000-0005-0000-0000-0000E9100000}"/>
    <cellStyle name="Normal 11 4 2 2 2 3" xfId="3848" xr:uid="{00000000-0005-0000-0000-0000EA100000}"/>
    <cellStyle name="Normal 11 4 2 2 2 4" xfId="5285" xr:uid="{00000000-0005-0000-0000-0000EB100000}"/>
    <cellStyle name="Normal 11 4 2 2 2 5" xfId="6731" xr:uid="{00000000-0005-0000-0000-0000EC100000}"/>
    <cellStyle name="Normal 11 4 2 2 2 6" xfId="8171" xr:uid="{00000000-0005-0000-0000-0000ED100000}"/>
    <cellStyle name="Normal 11 4 2 2 2 7" xfId="9605" xr:uid="{00000000-0005-0000-0000-0000EE100000}"/>
    <cellStyle name="Normal 11 4 2 2 3" xfId="1462" xr:uid="{00000000-0005-0000-0000-0000EF100000}"/>
    <cellStyle name="Normal 11 4 2 2 3 2" xfId="2935" xr:uid="{00000000-0005-0000-0000-0000F0100000}"/>
    <cellStyle name="Normal 11 4 2 2 3 3" xfId="4372" xr:uid="{00000000-0005-0000-0000-0000F1100000}"/>
    <cellStyle name="Normal 11 4 2 2 3 4" xfId="5809" xr:uid="{00000000-0005-0000-0000-0000F2100000}"/>
    <cellStyle name="Normal 11 4 2 2 3 5" xfId="7255" xr:uid="{00000000-0005-0000-0000-0000F3100000}"/>
    <cellStyle name="Normal 11 4 2 2 3 6" xfId="8696" xr:uid="{00000000-0005-0000-0000-0000F4100000}"/>
    <cellStyle name="Normal 11 4 2 2 3 7" xfId="10129" xr:uid="{00000000-0005-0000-0000-0000F5100000}"/>
    <cellStyle name="Normal 11 4 2 2 4" xfId="1934" xr:uid="{00000000-0005-0000-0000-0000F6100000}"/>
    <cellStyle name="Normal 11 4 2 2 5" xfId="3391" xr:uid="{00000000-0005-0000-0000-0000F7100000}"/>
    <cellStyle name="Normal 11 4 2 2 6" xfId="4828" xr:uid="{00000000-0005-0000-0000-0000F8100000}"/>
    <cellStyle name="Normal 11 4 2 2 7" xfId="6274" xr:uid="{00000000-0005-0000-0000-0000F9100000}"/>
    <cellStyle name="Normal 11 4 2 2 8" xfId="7712" xr:uid="{00000000-0005-0000-0000-0000FA100000}"/>
    <cellStyle name="Normal 11 4 2 2 9" xfId="9149" xr:uid="{00000000-0005-0000-0000-0000FB100000}"/>
    <cellStyle name="Normal 11 4 2 3" xfId="632" xr:uid="{00000000-0005-0000-0000-0000FC100000}"/>
    <cellStyle name="Normal 11 4 2 3 2" xfId="1111" xr:uid="{00000000-0005-0000-0000-0000FD100000}"/>
    <cellStyle name="Normal 11 4 2 3 2 2" xfId="2602" xr:uid="{00000000-0005-0000-0000-0000FE100000}"/>
    <cellStyle name="Normal 11 4 2 3 2 3" xfId="4045" xr:uid="{00000000-0005-0000-0000-0000FF100000}"/>
    <cellStyle name="Normal 11 4 2 3 2 4" xfId="5482" xr:uid="{00000000-0005-0000-0000-000000110000}"/>
    <cellStyle name="Normal 11 4 2 3 2 5" xfId="6928" xr:uid="{00000000-0005-0000-0000-000001110000}"/>
    <cellStyle name="Normal 11 4 2 3 2 6" xfId="8368" xr:uid="{00000000-0005-0000-0000-000002110000}"/>
    <cellStyle name="Normal 11 4 2 3 2 7" xfId="9802" xr:uid="{00000000-0005-0000-0000-000003110000}"/>
    <cellStyle name="Normal 11 4 2 3 3" xfId="1661" xr:uid="{00000000-0005-0000-0000-000004110000}"/>
    <cellStyle name="Normal 11 4 2 3 3 2" xfId="3132" xr:uid="{00000000-0005-0000-0000-000005110000}"/>
    <cellStyle name="Normal 11 4 2 3 3 3" xfId="4569" xr:uid="{00000000-0005-0000-0000-000006110000}"/>
    <cellStyle name="Normal 11 4 2 3 3 4" xfId="6006" xr:uid="{00000000-0005-0000-0000-000007110000}"/>
    <cellStyle name="Normal 11 4 2 3 3 5" xfId="7452" xr:uid="{00000000-0005-0000-0000-000008110000}"/>
    <cellStyle name="Normal 11 4 2 3 3 6" xfId="8893" xr:uid="{00000000-0005-0000-0000-000009110000}"/>
    <cellStyle name="Normal 11 4 2 3 3 7" xfId="10326" xr:uid="{00000000-0005-0000-0000-00000A110000}"/>
    <cellStyle name="Normal 11 4 2 3 4" xfId="2131" xr:uid="{00000000-0005-0000-0000-00000B110000}"/>
    <cellStyle name="Normal 11 4 2 3 5" xfId="3588" xr:uid="{00000000-0005-0000-0000-00000C110000}"/>
    <cellStyle name="Normal 11 4 2 3 6" xfId="5025" xr:uid="{00000000-0005-0000-0000-00000D110000}"/>
    <cellStyle name="Normal 11 4 2 3 7" xfId="6471" xr:uid="{00000000-0005-0000-0000-00000E110000}"/>
    <cellStyle name="Normal 11 4 2 3 8" xfId="7910" xr:uid="{00000000-0005-0000-0000-00000F110000}"/>
    <cellStyle name="Normal 11 4 2 3 9" xfId="9345" xr:uid="{00000000-0005-0000-0000-000010110000}"/>
    <cellStyle name="Normal 11 4 2 4" xfId="774" xr:uid="{00000000-0005-0000-0000-000011110000}"/>
    <cellStyle name="Normal 11 4 2 4 2" xfId="2265" xr:uid="{00000000-0005-0000-0000-000012110000}"/>
    <cellStyle name="Normal 11 4 2 4 3" xfId="3718" xr:uid="{00000000-0005-0000-0000-000013110000}"/>
    <cellStyle name="Normal 11 4 2 4 4" xfId="5155" xr:uid="{00000000-0005-0000-0000-000014110000}"/>
    <cellStyle name="Normal 11 4 2 4 5" xfId="6601" xr:uid="{00000000-0005-0000-0000-000015110000}"/>
    <cellStyle name="Normal 11 4 2 4 6" xfId="8041" xr:uid="{00000000-0005-0000-0000-000016110000}"/>
    <cellStyle name="Normal 11 4 2 4 7" xfId="9475" xr:uid="{00000000-0005-0000-0000-000017110000}"/>
    <cellStyle name="Normal 11 4 2 5" xfId="1330" xr:uid="{00000000-0005-0000-0000-000018110000}"/>
    <cellStyle name="Normal 11 4 2 5 2" xfId="2805" xr:uid="{00000000-0005-0000-0000-000019110000}"/>
    <cellStyle name="Normal 11 4 2 5 3" xfId="4242" xr:uid="{00000000-0005-0000-0000-00001A110000}"/>
    <cellStyle name="Normal 11 4 2 5 4" xfId="5679" xr:uid="{00000000-0005-0000-0000-00001B110000}"/>
    <cellStyle name="Normal 11 4 2 5 5" xfId="7125" xr:uid="{00000000-0005-0000-0000-00001C110000}"/>
    <cellStyle name="Normal 11 4 2 5 6" xfId="8566" xr:uid="{00000000-0005-0000-0000-00001D110000}"/>
    <cellStyle name="Normal 11 4 2 5 7" xfId="9999" xr:uid="{00000000-0005-0000-0000-00001E110000}"/>
    <cellStyle name="Normal 11 4 2 6" xfId="1804" xr:uid="{00000000-0005-0000-0000-00001F110000}"/>
    <cellStyle name="Normal 11 4 2 7" xfId="3261" xr:uid="{00000000-0005-0000-0000-000020110000}"/>
    <cellStyle name="Normal 11 4 2 8" xfId="4698" xr:uid="{00000000-0005-0000-0000-000021110000}"/>
    <cellStyle name="Normal 11 4 2 9" xfId="6144" xr:uid="{00000000-0005-0000-0000-000022110000}"/>
    <cellStyle name="Normal 11 4 3" xfId="359" xr:uid="{00000000-0005-0000-0000-000023110000}"/>
    <cellStyle name="Normal 11 4 3 2" xfId="841" xr:uid="{00000000-0005-0000-0000-000024110000}"/>
    <cellStyle name="Normal 11 4 3 2 2" xfId="2332" xr:uid="{00000000-0005-0000-0000-000025110000}"/>
    <cellStyle name="Normal 11 4 3 2 3" xfId="3783" xr:uid="{00000000-0005-0000-0000-000026110000}"/>
    <cellStyle name="Normal 11 4 3 2 4" xfId="5220" xr:uid="{00000000-0005-0000-0000-000027110000}"/>
    <cellStyle name="Normal 11 4 3 2 5" xfId="6666" xr:uid="{00000000-0005-0000-0000-000028110000}"/>
    <cellStyle name="Normal 11 4 3 2 6" xfId="8106" xr:uid="{00000000-0005-0000-0000-000029110000}"/>
    <cellStyle name="Normal 11 4 3 2 7" xfId="9540" xr:uid="{00000000-0005-0000-0000-00002A110000}"/>
    <cellStyle name="Normal 11 4 3 3" xfId="1395" xr:uid="{00000000-0005-0000-0000-00002B110000}"/>
    <cellStyle name="Normal 11 4 3 3 2" xfId="2870" xr:uid="{00000000-0005-0000-0000-00002C110000}"/>
    <cellStyle name="Normal 11 4 3 3 3" xfId="4307" xr:uid="{00000000-0005-0000-0000-00002D110000}"/>
    <cellStyle name="Normal 11 4 3 3 4" xfId="5744" xr:uid="{00000000-0005-0000-0000-00002E110000}"/>
    <cellStyle name="Normal 11 4 3 3 5" xfId="7190" xr:uid="{00000000-0005-0000-0000-00002F110000}"/>
    <cellStyle name="Normal 11 4 3 3 6" xfId="8631" xr:uid="{00000000-0005-0000-0000-000030110000}"/>
    <cellStyle name="Normal 11 4 3 3 7" xfId="10064" xr:uid="{00000000-0005-0000-0000-000031110000}"/>
    <cellStyle name="Normal 11 4 3 4" xfId="1869" xr:uid="{00000000-0005-0000-0000-000032110000}"/>
    <cellStyle name="Normal 11 4 3 5" xfId="3326" xr:uid="{00000000-0005-0000-0000-000033110000}"/>
    <cellStyle name="Normal 11 4 3 6" xfId="4763" xr:uid="{00000000-0005-0000-0000-000034110000}"/>
    <cellStyle name="Normal 11 4 3 7" xfId="6209" xr:uid="{00000000-0005-0000-0000-000035110000}"/>
    <cellStyle name="Normal 11 4 3 8" xfId="7647" xr:uid="{00000000-0005-0000-0000-000036110000}"/>
    <cellStyle name="Normal 11 4 3 9" xfId="9084" xr:uid="{00000000-0005-0000-0000-000037110000}"/>
    <cellStyle name="Normal 11 4 4" xfId="498" xr:uid="{00000000-0005-0000-0000-000038110000}"/>
    <cellStyle name="Normal 11 4 4 2" xfId="977" xr:uid="{00000000-0005-0000-0000-000039110000}"/>
    <cellStyle name="Normal 11 4 4 2 2" xfId="2468" xr:uid="{00000000-0005-0000-0000-00003A110000}"/>
    <cellStyle name="Normal 11 4 4 2 3" xfId="3915" xr:uid="{00000000-0005-0000-0000-00003B110000}"/>
    <cellStyle name="Normal 11 4 4 2 4" xfId="5352" xr:uid="{00000000-0005-0000-0000-00003C110000}"/>
    <cellStyle name="Normal 11 4 4 2 5" xfId="6798" xr:uid="{00000000-0005-0000-0000-00003D110000}"/>
    <cellStyle name="Normal 11 4 4 2 6" xfId="8238" xr:uid="{00000000-0005-0000-0000-00003E110000}"/>
    <cellStyle name="Normal 11 4 4 2 7" xfId="9672" xr:uid="{00000000-0005-0000-0000-00003F110000}"/>
    <cellStyle name="Normal 11 4 4 3" xfId="1529" xr:uid="{00000000-0005-0000-0000-000040110000}"/>
    <cellStyle name="Normal 11 4 4 3 2" xfId="3002" xr:uid="{00000000-0005-0000-0000-000041110000}"/>
    <cellStyle name="Normal 11 4 4 3 3" xfId="4439" xr:uid="{00000000-0005-0000-0000-000042110000}"/>
    <cellStyle name="Normal 11 4 4 3 4" xfId="5876" xr:uid="{00000000-0005-0000-0000-000043110000}"/>
    <cellStyle name="Normal 11 4 4 3 5" xfId="7322" xr:uid="{00000000-0005-0000-0000-000044110000}"/>
    <cellStyle name="Normal 11 4 4 3 6" xfId="8763" xr:uid="{00000000-0005-0000-0000-000045110000}"/>
    <cellStyle name="Normal 11 4 4 3 7" xfId="10196" xr:uid="{00000000-0005-0000-0000-000046110000}"/>
    <cellStyle name="Normal 11 4 4 4" xfId="2001" xr:uid="{00000000-0005-0000-0000-000047110000}"/>
    <cellStyle name="Normal 11 4 4 5" xfId="3458" xr:uid="{00000000-0005-0000-0000-000048110000}"/>
    <cellStyle name="Normal 11 4 4 6" xfId="4895" xr:uid="{00000000-0005-0000-0000-000049110000}"/>
    <cellStyle name="Normal 11 4 4 7" xfId="6341" xr:uid="{00000000-0005-0000-0000-00004A110000}"/>
    <cellStyle name="Normal 11 4 4 8" xfId="7779" xr:uid="{00000000-0005-0000-0000-00004B110000}"/>
    <cellStyle name="Normal 11 4 4 9" xfId="9216" xr:uid="{00000000-0005-0000-0000-00004C110000}"/>
    <cellStyle name="Normal 11 4 5" xfId="563" xr:uid="{00000000-0005-0000-0000-00004D110000}"/>
    <cellStyle name="Normal 11 4 5 2" xfId="1042" xr:uid="{00000000-0005-0000-0000-00004E110000}"/>
    <cellStyle name="Normal 11 4 5 2 2" xfId="2533" xr:uid="{00000000-0005-0000-0000-00004F110000}"/>
    <cellStyle name="Normal 11 4 5 2 3" xfId="3980" xr:uid="{00000000-0005-0000-0000-000050110000}"/>
    <cellStyle name="Normal 11 4 5 2 4" xfId="5417" xr:uid="{00000000-0005-0000-0000-000051110000}"/>
    <cellStyle name="Normal 11 4 5 2 5" xfId="6863" xr:uid="{00000000-0005-0000-0000-000052110000}"/>
    <cellStyle name="Normal 11 4 5 2 6" xfId="8303" xr:uid="{00000000-0005-0000-0000-000053110000}"/>
    <cellStyle name="Normal 11 4 5 2 7" xfId="9737" xr:uid="{00000000-0005-0000-0000-000054110000}"/>
    <cellStyle name="Normal 11 4 5 3" xfId="1594" xr:uid="{00000000-0005-0000-0000-000055110000}"/>
    <cellStyle name="Normal 11 4 5 3 2" xfId="3067" xr:uid="{00000000-0005-0000-0000-000056110000}"/>
    <cellStyle name="Normal 11 4 5 3 3" xfId="4504" xr:uid="{00000000-0005-0000-0000-000057110000}"/>
    <cellStyle name="Normal 11 4 5 3 4" xfId="5941" xr:uid="{00000000-0005-0000-0000-000058110000}"/>
    <cellStyle name="Normal 11 4 5 3 5" xfId="7387" xr:uid="{00000000-0005-0000-0000-000059110000}"/>
    <cellStyle name="Normal 11 4 5 3 6" xfId="8828" xr:uid="{00000000-0005-0000-0000-00005A110000}"/>
    <cellStyle name="Normal 11 4 5 3 7" xfId="10261" xr:uid="{00000000-0005-0000-0000-00005B110000}"/>
    <cellStyle name="Normal 11 4 5 4" xfId="2066" xr:uid="{00000000-0005-0000-0000-00005C110000}"/>
    <cellStyle name="Normal 11 4 5 5" xfId="3523" xr:uid="{00000000-0005-0000-0000-00005D110000}"/>
    <cellStyle name="Normal 11 4 5 6" xfId="4960" xr:uid="{00000000-0005-0000-0000-00005E110000}"/>
    <cellStyle name="Normal 11 4 5 7" xfId="6406" xr:uid="{00000000-0005-0000-0000-00005F110000}"/>
    <cellStyle name="Normal 11 4 5 8" xfId="7844" xr:uid="{00000000-0005-0000-0000-000060110000}"/>
    <cellStyle name="Normal 11 4 5 9" xfId="9280" xr:uid="{00000000-0005-0000-0000-000061110000}"/>
    <cellStyle name="Normal 11 4 6" xfId="705" xr:uid="{00000000-0005-0000-0000-000062110000}"/>
    <cellStyle name="Normal 11 4 6 2" xfId="2196" xr:uid="{00000000-0005-0000-0000-000063110000}"/>
    <cellStyle name="Normal 11 4 6 3" xfId="3653" xr:uid="{00000000-0005-0000-0000-000064110000}"/>
    <cellStyle name="Normal 11 4 6 4" xfId="5090" xr:uid="{00000000-0005-0000-0000-000065110000}"/>
    <cellStyle name="Normal 11 4 6 5" xfId="6536" xr:uid="{00000000-0005-0000-0000-000066110000}"/>
    <cellStyle name="Normal 11 4 6 6" xfId="7975" xr:uid="{00000000-0005-0000-0000-000067110000}"/>
    <cellStyle name="Normal 11 4 6 7" xfId="9410" xr:uid="{00000000-0005-0000-0000-000068110000}"/>
    <cellStyle name="Normal 11 4 7" xfId="1196" xr:uid="{00000000-0005-0000-0000-000069110000}"/>
    <cellStyle name="Normal 11 4 7 2" xfId="2675" xr:uid="{00000000-0005-0000-0000-00006A110000}"/>
    <cellStyle name="Normal 11 4 7 3" xfId="4112" xr:uid="{00000000-0005-0000-0000-00006B110000}"/>
    <cellStyle name="Normal 11 4 7 4" xfId="5549" xr:uid="{00000000-0005-0000-0000-00006C110000}"/>
    <cellStyle name="Normal 11 4 7 5" xfId="6995" xr:uid="{00000000-0005-0000-0000-00006D110000}"/>
    <cellStyle name="Normal 11 4 7 6" xfId="8436" xr:uid="{00000000-0005-0000-0000-00006E110000}"/>
    <cellStyle name="Normal 11 4 7 7" xfId="9869" xr:uid="{00000000-0005-0000-0000-00006F110000}"/>
    <cellStyle name="Normal 11 4 8" xfId="1261" xr:uid="{00000000-0005-0000-0000-000070110000}"/>
    <cellStyle name="Normal 11 4 8 2" xfId="2740" xr:uid="{00000000-0005-0000-0000-000071110000}"/>
    <cellStyle name="Normal 11 4 8 3" xfId="4177" xr:uid="{00000000-0005-0000-0000-000072110000}"/>
    <cellStyle name="Normal 11 4 8 4" xfId="5614" xr:uid="{00000000-0005-0000-0000-000073110000}"/>
    <cellStyle name="Normal 11 4 8 5" xfId="7060" xr:uid="{00000000-0005-0000-0000-000074110000}"/>
    <cellStyle name="Normal 11 4 8 6" xfId="8501" xr:uid="{00000000-0005-0000-0000-000075110000}"/>
    <cellStyle name="Normal 11 4 8 7" xfId="9934" xr:uid="{00000000-0005-0000-0000-000076110000}"/>
    <cellStyle name="Normal 11 4 9" xfId="1739" xr:uid="{00000000-0005-0000-0000-000077110000}"/>
    <cellStyle name="Normal 11 5" xfId="259" xr:uid="{00000000-0005-0000-0000-000078110000}"/>
    <cellStyle name="Normal 11 5 10" xfId="7548" xr:uid="{00000000-0005-0000-0000-000079110000}"/>
    <cellStyle name="Normal 11 5 11" xfId="8987" xr:uid="{00000000-0005-0000-0000-00007A110000}"/>
    <cellStyle name="Normal 11 5 2" xfId="394" xr:uid="{00000000-0005-0000-0000-00007B110000}"/>
    <cellStyle name="Normal 11 5 2 2" xfId="876" xr:uid="{00000000-0005-0000-0000-00007C110000}"/>
    <cellStyle name="Normal 11 5 2 2 2" xfId="2367" xr:uid="{00000000-0005-0000-0000-00007D110000}"/>
    <cellStyle name="Normal 11 5 2 2 3" xfId="3814" xr:uid="{00000000-0005-0000-0000-00007E110000}"/>
    <cellStyle name="Normal 11 5 2 2 4" xfId="5251" xr:uid="{00000000-0005-0000-0000-00007F110000}"/>
    <cellStyle name="Normal 11 5 2 2 5" xfId="6697" xr:uid="{00000000-0005-0000-0000-000080110000}"/>
    <cellStyle name="Normal 11 5 2 2 6" xfId="8137" xr:uid="{00000000-0005-0000-0000-000081110000}"/>
    <cellStyle name="Normal 11 5 2 2 7" xfId="9571" xr:uid="{00000000-0005-0000-0000-000082110000}"/>
    <cellStyle name="Normal 11 5 2 3" xfId="1428" xr:uid="{00000000-0005-0000-0000-000083110000}"/>
    <cellStyle name="Normal 11 5 2 3 2" xfId="2901" xr:uid="{00000000-0005-0000-0000-000084110000}"/>
    <cellStyle name="Normal 11 5 2 3 3" xfId="4338" xr:uid="{00000000-0005-0000-0000-000085110000}"/>
    <cellStyle name="Normal 11 5 2 3 4" xfId="5775" xr:uid="{00000000-0005-0000-0000-000086110000}"/>
    <cellStyle name="Normal 11 5 2 3 5" xfId="7221" xr:uid="{00000000-0005-0000-0000-000087110000}"/>
    <cellStyle name="Normal 11 5 2 3 6" xfId="8662" xr:uid="{00000000-0005-0000-0000-000088110000}"/>
    <cellStyle name="Normal 11 5 2 3 7" xfId="10095" xr:uid="{00000000-0005-0000-0000-000089110000}"/>
    <cellStyle name="Normal 11 5 2 4" xfId="1900" xr:uid="{00000000-0005-0000-0000-00008A110000}"/>
    <cellStyle name="Normal 11 5 2 5" xfId="3357" xr:uid="{00000000-0005-0000-0000-00008B110000}"/>
    <cellStyle name="Normal 11 5 2 6" xfId="4794" xr:uid="{00000000-0005-0000-0000-00008C110000}"/>
    <cellStyle name="Normal 11 5 2 7" xfId="6240" xr:uid="{00000000-0005-0000-0000-00008D110000}"/>
    <cellStyle name="Normal 11 5 2 8" xfId="7678" xr:uid="{00000000-0005-0000-0000-00008E110000}"/>
    <cellStyle name="Normal 11 5 2 9" xfId="9115" xr:uid="{00000000-0005-0000-0000-00008F110000}"/>
    <cellStyle name="Normal 11 5 3" xfId="598" xr:uid="{00000000-0005-0000-0000-000090110000}"/>
    <cellStyle name="Normal 11 5 3 2" xfId="1077" xr:uid="{00000000-0005-0000-0000-000091110000}"/>
    <cellStyle name="Normal 11 5 3 2 2" xfId="2568" xr:uid="{00000000-0005-0000-0000-000092110000}"/>
    <cellStyle name="Normal 11 5 3 2 3" xfId="4011" xr:uid="{00000000-0005-0000-0000-000093110000}"/>
    <cellStyle name="Normal 11 5 3 2 4" xfId="5448" xr:uid="{00000000-0005-0000-0000-000094110000}"/>
    <cellStyle name="Normal 11 5 3 2 5" xfId="6894" xr:uid="{00000000-0005-0000-0000-000095110000}"/>
    <cellStyle name="Normal 11 5 3 2 6" xfId="8334" xr:uid="{00000000-0005-0000-0000-000096110000}"/>
    <cellStyle name="Normal 11 5 3 2 7" xfId="9768" xr:uid="{00000000-0005-0000-0000-000097110000}"/>
    <cellStyle name="Normal 11 5 3 3" xfId="1627" xr:uid="{00000000-0005-0000-0000-000098110000}"/>
    <cellStyle name="Normal 11 5 3 3 2" xfId="3098" xr:uid="{00000000-0005-0000-0000-000099110000}"/>
    <cellStyle name="Normal 11 5 3 3 3" xfId="4535" xr:uid="{00000000-0005-0000-0000-00009A110000}"/>
    <cellStyle name="Normal 11 5 3 3 4" xfId="5972" xr:uid="{00000000-0005-0000-0000-00009B110000}"/>
    <cellStyle name="Normal 11 5 3 3 5" xfId="7418" xr:uid="{00000000-0005-0000-0000-00009C110000}"/>
    <cellStyle name="Normal 11 5 3 3 6" xfId="8859" xr:uid="{00000000-0005-0000-0000-00009D110000}"/>
    <cellStyle name="Normal 11 5 3 3 7" xfId="10292" xr:uid="{00000000-0005-0000-0000-00009E110000}"/>
    <cellStyle name="Normal 11 5 3 4" xfId="2097" xr:uid="{00000000-0005-0000-0000-00009F110000}"/>
    <cellStyle name="Normal 11 5 3 5" xfId="3554" xr:uid="{00000000-0005-0000-0000-0000A0110000}"/>
    <cellStyle name="Normal 11 5 3 6" xfId="4991" xr:uid="{00000000-0005-0000-0000-0000A1110000}"/>
    <cellStyle name="Normal 11 5 3 7" xfId="6437" xr:uid="{00000000-0005-0000-0000-0000A2110000}"/>
    <cellStyle name="Normal 11 5 3 8" xfId="7876" xr:uid="{00000000-0005-0000-0000-0000A3110000}"/>
    <cellStyle name="Normal 11 5 3 9" xfId="9311" xr:uid="{00000000-0005-0000-0000-0000A4110000}"/>
    <cellStyle name="Normal 11 5 4" xfId="740" xr:uid="{00000000-0005-0000-0000-0000A5110000}"/>
    <cellStyle name="Normal 11 5 4 2" xfId="2231" xr:uid="{00000000-0005-0000-0000-0000A6110000}"/>
    <cellStyle name="Normal 11 5 4 3" xfId="3684" xr:uid="{00000000-0005-0000-0000-0000A7110000}"/>
    <cellStyle name="Normal 11 5 4 4" xfId="5121" xr:uid="{00000000-0005-0000-0000-0000A8110000}"/>
    <cellStyle name="Normal 11 5 4 5" xfId="6567" xr:uid="{00000000-0005-0000-0000-0000A9110000}"/>
    <cellStyle name="Normal 11 5 4 6" xfId="8007" xr:uid="{00000000-0005-0000-0000-0000AA110000}"/>
    <cellStyle name="Normal 11 5 4 7" xfId="9441" xr:uid="{00000000-0005-0000-0000-0000AB110000}"/>
    <cellStyle name="Normal 11 5 5" xfId="1296" xr:uid="{00000000-0005-0000-0000-0000AC110000}"/>
    <cellStyle name="Normal 11 5 5 2" xfId="2771" xr:uid="{00000000-0005-0000-0000-0000AD110000}"/>
    <cellStyle name="Normal 11 5 5 3" xfId="4208" xr:uid="{00000000-0005-0000-0000-0000AE110000}"/>
    <cellStyle name="Normal 11 5 5 4" xfId="5645" xr:uid="{00000000-0005-0000-0000-0000AF110000}"/>
    <cellStyle name="Normal 11 5 5 5" xfId="7091" xr:uid="{00000000-0005-0000-0000-0000B0110000}"/>
    <cellStyle name="Normal 11 5 5 6" xfId="8532" xr:uid="{00000000-0005-0000-0000-0000B1110000}"/>
    <cellStyle name="Normal 11 5 5 7" xfId="9965" xr:uid="{00000000-0005-0000-0000-0000B2110000}"/>
    <cellStyle name="Normal 11 5 6" xfId="1770" xr:uid="{00000000-0005-0000-0000-0000B3110000}"/>
    <cellStyle name="Normal 11 5 7" xfId="3227" xr:uid="{00000000-0005-0000-0000-0000B4110000}"/>
    <cellStyle name="Normal 11 5 8" xfId="4664" xr:uid="{00000000-0005-0000-0000-0000B5110000}"/>
    <cellStyle name="Normal 11 5 9" xfId="6110" xr:uid="{00000000-0005-0000-0000-0000B6110000}"/>
    <cellStyle name="Normal 11 6" xfId="325" xr:uid="{00000000-0005-0000-0000-0000B7110000}"/>
    <cellStyle name="Normal 11 6 2" xfId="807" xr:uid="{00000000-0005-0000-0000-0000B8110000}"/>
    <cellStyle name="Normal 11 6 2 2" xfId="2298" xr:uid="{00000000-0005-0000-0000-0000B9110000}"/>
    <cellStyle name="Normal 11 6 2 3" xfId="3749" xr:uid="{00000000-0005-0000-0000-0000BA110000}"/>
    <cellStyle name="Normal 11 6 2 4" xfId="5186" xr:uid="{00000000-0005-0000-0000-0000BB110000}"/>
    <cellStyle name="Normal 11 6 2 5" xfId="6632" xr:uid="{00000000-0005-0000-0000-0000BC110000}"/>
    <cellStyle name="Normal 11 6 2 6" xfId="8072" xr:uid="{00000000-0005-0000-0000-0000BD110000}"/>
    <cellStyle name="Normal 11 6 2 7" xfId="9506" xr:uid="{00000000-0005-0000-0000-0000BE110000}"/>
    <cellStyle name="Normal 11 6 3" xfId="1361" xr:uid="{00000000-0005-0000-0000-0000BF110000}"/>
    <cellStyle name="Normal 11 6 3 2" xfId="2836" xr:uid="{00000000-0005-0000-0000-0000C0110000}"/>
    <cellStyle name="Normal 11 6 3 3" xfId="4273" xr:uid="{00000000-0005-0000-0000-0000C1110000}"/>
    <cellStyle name="Normal 11 6 3 4" xfId="5710" xr:uid="{00000000-0005-0000-0000-0000C2110000}"/>
    <cellStyle name="Normal 11 6 3 5" xfId="7156" xr:uid="{00000000-0005-0000-0000-0000C3110000}"/>
    <cellStyle name="Normal 11 6 3 6" xfId="8597" xr:uid="{00000000-0005-0000-0000-0000C4110000}"/>
    <cellStyle name="Normal 11 6 3 7" xfId="10030" xr:uid="{00000000-0005-0000-0000-0000C5110000}"/>
    <cellStyle name="Normal 11 6 4" xfId="1835" xr:uid="{00000000-0005-0000-0000-0000C6110000}"/>
    <cellStyle name="Normal 11 6 5" xfId="3292" xr:uid="{00000000-0005-0000-0000-0000C7110000}"/>
    <cellStyle name="Normal 11 6 6" xfId="4729" xr:uid="{00000000-0005-0000-0000-0000C8110000}"/>
    <cellStyle name="Normal 11 6 7" xfId="6175" xr:uid="{00000000-0005-0000-0000-0000C9110000}"/>
    <cellStyle name="Normal 11 6 8" xfId="7613" xr:uid="{00000000-0005-0000-0000-0000CA110000}"/>
    <cellStyle name="Normal 11 6 9" xfId="9051" xr:uid="{00000000-0005-0000-0000-0000CB110000}"/>
    <cellStyle name="Normal 11 7" xfId="461" xr:uid="{00000000-0005-0000-0000-0000CC110000}"/>
    <cellStyle name="Normal 11 7 2" xfId="940" xr:uid="{00000000-0005-0000-0000-0000CD110000}"/>
    <cellStyle name="Normal 11 7 2 2" xfId="2431" xr:uid="{00000000-0005-0000-0000-0000CE110000}"/>
    <cellStyle name="Normal 11 7 2 3" xfId="3878" xr:uid="{00000000-0005-0000-0000-0000CF110000}"/>
    <cellStyle name="Normal 11 7 2 4" xfId="5315" xr:uid="{00000000-0005-0000-0000-0000D0110000}"/>
    <cellStyle name="Normal 11 7 2 5" xfId="6761" xr:uid="{00000000-0005-0000-0000-0000D1110000}"/>
    <cellStyle name="Normal 11 7 2 6" xfId="8201" xr:uid="{00000000-0005-0000-0000-0000D2110000}"/>
    <cellStyle name="Normal 11 7 2 7" xfId="9635" xr:uid="{00000000-0005-0000-0000-0000D3110000}"/>
    <cellStyle name="Normal 11 7 3" xfId="1492" xr:uid="{00000000-0005-0000-0000-0000D4110000}"/>
    <cellStyle name="Normal 11 7 3 2" xfId="2965" xr:uid="{00000000-0005-0000-0000-0000D5110000}"/>
    <cellStyle name="Normal 11 7 3 3" xfId="4402" xr:uid="{00000000-0005-0000-0000-0000D6110000}"/>
    <cellStyle name="Normal 11 7 3 4" xfId="5839" xr:uid="{00000000-0005-0000-0000-0000D7110000}"/>
    <cellStyle name="Normal 11 7 3 5" xfId="7285" xr:uid="{00000000-0005-0000-0000-0000D8110000}"/>
    <cellStyle name="Normal 11 7 3 6" xfId="8726" xr:uid="{00000000-0005-0000-0000-0000D9110000}"/>
    <cellStyle name="Normal 11 7 3 7" xfId="10159" xr:uid="{00000000-0005-0000-0000-0000DA110000}"/>
    <cellStyle name="Normal 11 7 4" xfId="1964" xr:uid="{00000000-0005-0000-0000-0000DB110000}"/>
    <cellStyle name="Normal 11 7 5" xfId="3421" xr:uid="{00000000-0005-0000-0000-0000DC110000}"/>
    <cellStyle name="Normal 11 7 6" xfId="4858" xr:uid="{00000000-0005-0000-0000-0000DD110000}"/>
    <cellStyle name="Normal 11 7 7" xfId="6304" xr:uid="{00000000-0005-0000-0000-0000DE110000}"/>
    <cellStyle name="Normal 11 7 8" xfId="7742" xr:uid="{00000000-0005-0000-0000-0000DF110000}"/>
    <cellStyle name="Normal 11 7 9" xfId="9179" xr:uid="{00000000-0005-0000-0000-0000E0110000}"/>
    <cellStyle name="Normal 11 8" xfId="529" xr:uid="{00000000-0005-0000-0000-0000E1110000}"/>
    <cellStyle name="Normal 11 8 2" xfId="1008" xr:uid="{00000000-0005-0000-0000-0000E2110000}"/>
    <cellStyle name="Normal 11 8 2 2" xfId="2499" xr:uid="{00000000-0005-0000-0000-0000E3110000}"/>
    <cellStyle name="Normal 11 8 2 3" xfId="3946" xr:uid="{00000000-0005-0000-0000-0000E4110000}"/>
    <cellStyle name="Normal 11 8 2 4" xfId="5383" xr:uid="{00000000-0005-0000-0000-0000E5110000}"/>
    <cellStyle name="Normal 11 8 2 5" xfId="6829" xr:uid="{00000000-0005-0000-0000-0000E6110000}"/>
    <cellStyle name="Normal 11 8 2 6" xfId="8269" xr:uid="{00000000-0005-0000-0000-0000E7110000}"/>
    <cellStyle name="Normal 11 8 2 7" xfId="9703" xr:uid="{00000000-0005-0000-0000-0000E8110000}"/>
    <cellStyle name="Normal 11 8 3" xfId="1560" xr:uid="{00000000-0005-0000-0000-0000E9110000}"/>
    <cellStyle name="Normal 11 8 3 2" xfId="3033" xr:uid="{00000000-0005-0000-0000-0000EA110000}"/>
    <cellStyle name="Normal 11 8 3 3" xfId="4470" xr:uid="{00000000-0005-0000-0000-0000EB110000}"/>
    <cellStyle name="Normal 11 8 3 4" xfId="5907" xr:uid="{00000000-0005-0000-0000-0000EC110000}"/>
    <cellStyle name="Normal 11 8 3 5" xfId="7353" xr:uid="{00000000-0005-0000-0000-0000ED110000}"/>
    <cellStyle name="Normal 11 8 3 6" xfId="8794" xr:uid="{00000000-0005-0000-0000-0000EE110000}"/>
    <cellStyle name="Normal 11 8 3 7" xfId="10227" xr:uid="{00000000-0005-0000-0000-0000EF110000}"/>
    <cellStyle name="Normal 11 8 4" xfId="2032" xr:uid="{00000000-0005-0000-0000-0000F0110000}"/>
    <cellStyle name="Normal 11 8 5" xfId="3489" xr:uid="{00000000-0005-0000-0000-0000F1110000}"/>
    <cellStyle name="Normal 11 8 6" xfId="4926" xr:uid="{00000000-0005-0000-0000-0000F2110000}"/>
    <cellStyle name="Normal 11 8 7" xfId="6372" xr:uid="{00000000-0005-0000-0000-0000F3110000}"/>
    <cellStyle name="Normal 11 8 8" xfId="7810" xr:uid="{00000000-0005-0000-0000-0000F4110000}"/>
    <cellStyle name="Normal 11 8 9" xfId="9247" xr:uid="{00000000-0005-0000-0000-0000F5110000}"/>
    <cellStyle name="Normal 11 9" xfId="671" xr:uid="{00000000-0005-0000-0000-0000F6110000}"/>
    <cellStyle name="Normal 11 9 2" xfId="2162" xr:uid="{00000000-0005-0000-0000-0000F7110000}"/>
    <cellStyle name="Normal 11 9 3" xfId="3619" xr:uid="{00000000-0005-0000-0000-0000F8110000}"/>
    <cellStyle name="Normal 11 9 4" xfId="5056" xr:uid="{00000000-0005-0000-0000-0000F9110000}"/>
    <cellStyle name="Normal 11 9 5" xfId="6502" xr:uid="{00000000-0005-0000-0000-0000FA110000}"/>
    <cellStyle name="Normal 11 9 6" xfId="7941" xr:uid="{00000000-0005-0000-0000-0000FB110000}"/>
    <cellStyle name="Normal 11 9 7" xfId="9376" xr:uid="{00000000-0005-0000-0000-0000FC110000}"/>
    <cellStyle name="Normal 12" xfId="46" xr:uid="{00000000-0005-0000-0000-0000FD110000}"/>
    <cellStyle name="Normal 12 2" xfId="104" xr:uid="{00000000-0005-0000-0000-0000FE110000}"/>
    <cellStyle name="Normal 12 2 2" xfId="203" xr:uid="{00000000-0005-0000-0000-0000FF110000}"/>
    <cellStyle name="Normal 12 3" xfId="154" xr:uid="{00000000-0005-0000-0000-000000120000}"/>
    <cellStyle name="Normal 13" xfId="47" xr:uid="{00000000-0005-0000-0000-000001120000}"/>
    <cellStyle name="Normal 13 2" xfId="105" xr:uid="{00000000-0005-0000-0000-000002120000}"/>
    <cellStyle name="Normal 13 2 2" xfId="204" xr:uid="{00000000-0005-0000-0000-000003120000}"/>
    <cellStyle name="Normal 13 3" xfId="155" xr:uid="{00000000-0005-0000-0000-000004120000}"/>
    <cellStyle name="Normal 14" xfId="48" xr:uid="{00000000-0005-0000-0000-000005120000}"/>
    <cellStyle name="Normal 14 10" xfId="1160" xr:uid="{00000000-0005-0000-0000-000006120000}"/>
    <cellStyle name="Normal 14 10 2" xfId="2639" xr:uid="{00000000-0005-0000-0000-000007120000}"/>
    <cellStyle name="Normal 14 10 3" xfId="4076" xr:uid="{00000000-0005-0000-0000-000008120000}"/>
    <cellStyle name="Normal 14 10 4" xfId="5513" xr:uid="{00000000-0005-0000-0000-000009120000}"/>
    <cellStyle name="Normal 14 10 5" xfId="6959" xr:uid="{00000000-0005-0000-0000-00000A120000}"/>
    <cellStyle name="Normal 14 10 6" xfId="8400" xr:uid="{00000000-0005-0000-0000-00000B120000}"/>
    <cellStyle name="Normal 14 10 7" xfId="9833" xr:uid="{00000000-0005-0000-0000-00000C120000}"/>
    <cellStyle name="Normal 14 11" xfId="1230" xr:uid="{00000000-0005-0000-0000-00000D120000}"/>
    <cellStyle name="Normal 14 11 2" xfId="2709" xr:uid="{00000000-0005-0000-0000-00000E120000}"/>
    <cellStyle name="Normal 14 11 3" xfId="4146" xr:uid="{00000000-0005-0000-0000-00000F120000}"/>
    <cellStyle name="Normal 14 11 4" xfId="5583" xr:uid="{00000000-0005-0000-0000-000010120000}"/>
    <cellStyle name="Normal 14 11 5" xfId="7029" xr:uid="{00000000-0005-0000-0000-000011120000}"/>
    <cellStyle name="Normal 14 11 6" xfId="8470" xr:uid="{00000000-0005-0000-0000-000012120000}"/>
    <cellStyle name="Normal 14 11 7" xfId="9903" xr:uid="{00000000-0005-0000-0000-000013120000}"/>
    <cellStyle name="Normal 14 12" xfId="1709" xr:uid="{00000000-0005-0000-0000-000014120000}"/>
    <cellStyle name="Normal 14 13" xfId="3166" xr:uid="{00000000-0005-0000-0000-000015120000}"/>
    <cellStyle name="Normal 14 14" xfId="4603" xr:uid="{00000000-0005-0000-0000-000016120000}"/>
    <cellStyle name="Normal 14 15" xfId="6049" xr:uid="{00000000-0005-0000-0000-000017120000}"/>
    <cellStyle name="Normal 14 16" xfId="7487" xr:uid="{00000000-0005-0000-0000-000018120000}"/>
    <cellStyle name="Normal 14 17" xfId="8927" xr:uid="{00000000-0005-0000-0000-000019120000}"/>
    <cellStyle name="Normal 14 2" xfId="123" xr:uid="{00000000-0005-0000-0000-00001A120000}"/>
    <cellStyle name="Normal 14 2 10" xfId="1238" xr:uid="{00000000-0005-0000-0000-00001B120000}"/>
    <cellStyle name="Normal 14 2 10 2" xfId="2717" xr:uid="{00000000-0005-0000-0000-00001C120000}"/>
    <cellStyle name="Normal 14 2 10 3" xfId="4154" xr:uid="{00000000-0005-0000-0000-00001D120000}"/>
    <cellStyle name="Normal 14 2 10 4" xfId="5591" xr:uid="{00000000-0005-0000-0000-00001E120000}"/>
    <cellStyle name="Normal 14 2 10 5" xfId="7037" xr:uid="{00000000-0005-0000-0000-00001F120000}"/>
    <cellStyle name="Normal 14 2 10 6" xfId="8478" xr:uid="{00000000-0005-0000-0000-000020120000}"/>
    <cellStyle name="Normal 14 2 10 7" xfId="9911" xr:uid="{00000000-0005-0000-0000-000021120000}"/>
    <cellStyle name="Normal 14 2 11" xfId="1717" xr:uid="{00000000-0005-0000-0000-000022120000}"/>
    <cellStyle name="Normal 14 2 12" xfId="3174" xr:uid="{00000000-0005-0000-0000-000023120000}"/>
    <cellStyle name="Normal 14 2 13" xfId="4611" xr:uid="{00000000-0005-0000-0000-000024120000}"/>
    <cellStyle name="Normal 14 2 14" xfId="6057" xr:uid="{00000000-0005-0000-0000-000025120000}"/>
    <cellStyle name="Normal 14 2 15" xfId="7495" xr:uid="{00000000-0005-0000-0000-000026120000}"/>
    <cellStyle name="Normal 14 2 16" xfId="8935" xr:uid="{00000000-0005-0000-0000-000027120000}"/>
    <cellStyle name="Normal 14 2 2" xfId="205" xr:uid="{00000000-0005-0000-0000-000028120000}"/>
    <cellStyle name="Normal 14 2 2 10" xfId="1734" xr:uid="{00000000-0005-0000-0000-000029120000}"/>
    <cellStyle name="Normal 14 2 2 11" xfId="3191" xr:uid="{00000000-0005-0000-0000-00002A120000}"/>
    <cellStyle name="Normal 14 2 2 12" xfId="4628" xr:uid="{00000000-0005-0000-0000-00002B120000}"/>
    <cellStyle name="Normal 14 2 2 13" xfId="6074" xr:uid="{00000000-0005-0000-0000-00002C120000}"/>
    <cellStyle name="Normal 14 2 2 14" xfId="7512" xr:uid="{00000000-0005-0000-0000-00002D120000}"/>
    <cellStyle name="Normal 14 2 2 15" xfId="8952" xr:uid="{00000000-0005-0000-0000-00002E120000}"/>
    <cellStyle name="Normal 14 2 2 2" xfId="248" xr:uid="{00000000-0005-0000-0000-00002F120000}"/>
    <cellStyle name="Normal 14 2 2 2 10" xfId="3222" xr:uid="{00000000-0005-0000-0000-000030120000}"/>
    <cellStyle name="Normal 14 2 2 2 11" xfId="4659" xr:uid="{00000000-0005-0000-0000-000031120000}"/>
    <cellStyle name="Normal 14 2 2 2 12" xfId="6105" xr:uid="{00000000-0005-0000-0000-000032120000}"/>
    <cellStyle name="Normal 14 2 2 2 13" xfId="7543" xr:uid="{00000000-0005-0000-0000-000033120000}"/>
    <cellStyle name="Normal 14 2 2 2 14" xfId="8983" xr:uid="{00000000-0005-0000-0000-000034120000}"/>
    <cellStyle name="Normal 14 2 2 2 2" xfId="316" xr:uid="{00000000-0005-0000-0000-000035120000}"/>
    <cellStyle name="Normal 14 2 2 2 2 10" xfId="7608" xr:uid="{00000000-0005-0000-0000-000036120000}"/>
    <cellStyle name="Normal 14 2 2 2 2 11" xfId="9047" xr:uid="{00000000-0005-0000-0000-000037120000}"/>
    <cellStyle name="Normal 14 2 2 2 2 2" xfId="454" xr:uid="{00000000-0005-0000-0000-000038120000}"/>
    <cellStyle name="Normal 14 2 2 2 2 2 2" xfId="936" xr:uid="{00000000-0005-0000-0000-000039120000}"/>
    <cellStyle name="Normal 14 2 2 2 2 2 2 2" xfId="2427" xr:uid="{00000000-0005-0000-0000-00003A120000}"/>
    <cellStyle name="Normal 14 2 2 2 2 2 2 3" xfId="3874" xr:uid="{00000000-0005-0000-0000-00003B120000}"/>
    <cellStyle name="Normal 14 2 2 2 2 2 2 4" xfId="5311" xr:uid="{00000000-0005-0000-0000-00003C120000}"/>
    <cellStyle name="Normal 14 2 2 2 2 2 2 5" xfId="6757" xr:uid="{00000000-0005-0000-0000-00003D120000}"/>
    <cellStyle name="Normal 14 2 2 2 2 2 2 6" xfId="8197" xr:uid="{00000000-0005-0000-0000-00003E120000}"/>
    <cellStyle name="Normal 14 2 2 2 2 2 2 7" xfId="9631" xr:uid="{00000000-0005-0000-0000-00003F120000}"/>
    <cellStyle name="Normal 14 2 2 2 2 2 3" xfId="1488" xr:uid="{00000000-0005-0000-0000-000040120000}"/>
    <cellStyle name="Normal 14 2 2 2 2 2 3 2" xfId="2961" xr:uid="{00000000-0005-0000-0000-000041120000}"/>
    <cellStyle name="Normal 14 2 2 2 2 2 3 3" xfId="4398" xr:uid="{00000000-0005-0000-0000-000042120000}"/>
    <cellStyle name="Normal 14 2 2 2 2 2 3 4" xfId="5835" xr:uid="{00000000-0005-0000-0000-000043120000}"/>
    <cellStyle name="Normal 14 2 2 2 2 2 3 5" xfId="7281" xr:uid="{00000000-0005-0000-0000-000044120000}"/>
    <cellStyle name="Normal 14 2 2 2 2 2 3 6" xfId="8722" xr:uid="{00000000-0005-0000-0000-000045120000}"/>
    <cellStyle name="Normal 14 2 2 2 2 2 3 7" xfId="10155" xr:uid="{00000000-0005-0000-0000-000046120000}"/>
    <cellStyle name="Normal 14 2 2 2 2 2 4" xfId="1960" xr:uid="{00000000-0005-0000-0000-000047120000}"/>
    <cellStyle name="Normal 14 2 2 2 2 2 5" xfId="3417" xr:uid="{00000000-0005-0000-0000-000048120000}"/>
    <cellStyle name="Normal 14 2 2 2 2 2 6" xfId="4854" xr:uid="{00000000-0005-0000-0000-000049120000}"/>
    <cellStyle name="Normal 14 2 2 2 2 2 7" xfId="6300" xr:uid="{00000000-0005-0000-0000-00004A120000}"/>
    <cellStyle name="Normal 14 2 2 2 2 2 8" xfId="7738" xr:uid="{00000000-0005-0000-0000-00004B120000}"/>
    <cellStyle name="Normal 14 2 2 2 2 2 9" xfId="9175" xr:uid="{00000000-0005-0000-0000-00004C120000}"/>
    <cellStyle name="Normal 14 2 2 2 2 3" xfId="658" xr:uid="{00000000-0005-0000-0000-00004D120000}"/>
    <cellStyle name="Normal 14 2 2 2 2 3 2" xfId="1137" xr:uid="{00000000-0005-0000-0000-00004E120000}"/>
    <cellStyle name="Normal 14 2 2 2 2 3 2 2" xfId="2628" xr:uid="{00000000-0005-0000-0000-00004F120000}"/>
    <cellStyle name="Normal 14 2 2 2 2 3 2 3" xfId="4071" xr:uid="{00000000-0005-0000-0000-000050120000}"/>
    <cellStyle name="Normal 14 2 2 2 2 3 2 4" xfId="5508" xr:uid="{00000000-0005-0000-0000-000051120000}"/>
    <cellStyle name="Normal 14 2 2 2 2 3 2 5" xfId="6954" xr:uid="{00000000-0005-0000-0000-000052120000}"/>
    <cellStyle name="Normal 14 2 2 2 2 3 2 6" xfId="8394" xr:uid="{00000000-0005-0000-0000-000053120000}"/>
    <cellStyle name="Normal 14 2 2 2 2 3 2 7" xfId="9828" xr:uid="{00000000-0005-0000-0000-000054120000}"/>
    <cellStyle name="Normal 14 2 2 2 2 3 3" xfId="1687" xr:uid="{00000000-0005-0000-0000-000055120000}"/>
    <cellStyle name="Normal 14 2 2 2 2 3 3 2" xfId="3158" xr:uid="{00000000-0005-0000-0000-000056120000}"/>
    <cellStyle name="Normal 14 2 2 2 2 3 3 3" xfId="4595" xr:uid="{00000000-0005-0000-0000-000057120000}"/>
    <cellStyle name="Normal 14 2 2 2 2 3 3 4" xfId="6032" xr:uid="{00000000-0005-0000-0000-000058120000}"/>
    <cellStyle name="Normal 14 2 2 2 2 3 3 5" xfId="7478" xr:uid="{00000000-0005-0000-0000-000059120000}"/>
    <cellStyle name="Normal 14 2 2 2 2 3 3 6" xfId="8919" xr:uid="{00000000-0005-0000-0000-00005A120000}"/>
    <cellStyle name="Normal 14 2 2 2 2 3 3 7" xfId="10352" xr:uid="{00000000-0005-0000-0000-00005B120000}"/>
    <cellStyle name="Normal 14 2 2 2 2 3 4" xfId="2157" xr:uid="{00000000-0005-0000-0000-00005C120000}"/>
    <cellStyle name="Normal 14 2 2 2 2 3 5" xfId="3614" xr:uid="{00000000-0005-0000-0000-00005D120000}"/>
    <cellStyle name="Normal 14 2 2 2 2 3 6" xfId="5051" xr:uid="{00000000-0005-0000-0000-00005E120000}"/>
    <cellStyle name="Normal 14 2 2 2 2 3 7" xfId="6497" xr:uid="{00000000-0005-0000-0000-00005F120000}"/>
    <cellStyle name="Normal 14 2 2 2 2 3 8" xfId="7936" xr:uid="{00000000-0005-0000-0000-000060120000}"/>
    <cellStyle name="Normal 14 2 2 2 2 3 9" xfId="9371" xr:uid="{00000000-0005-0000-0000-000061120000}"/>
    <cellStyle name="Normal 14 2 2 2 2 4" xfId="800" xr:uid="{00000000-0005-0000-0000-000062120000}"/>
    <cellStyle name="Normal 14 2 2 2 2 4 2" xfId="2291" xr:uid="{00000000-0005-0000-0000-000063120000}"/>
    <cellStyle name="Normal 14 2 2 2 2 4 3" xfId="3744" xr:uid="{00000000-0005-0000-0000-000064120000}"/>
    <cellStyle name="Normal 14 2 2 2 2 4 4" xfId="5181" xr:uid="{00000000-0005-0000-0000-000065120000}"/>
    <cellStyle name="Normal 14 2 2 2 2 4 5" xfId="6627" xr:uid="{00000000-0005-0000-0000-000066120000}"/>
    <cellStyle name="Normal 14 2 2 2 2 4 6" xfId="8067" xr:uid="{00000000-0005-0000-0000-000067120000}"/>
    <cellStyle name="Normal 14 2 2 2 2 4 7" xfId="9501" xr:uid="{00000000-0005-0000-0000-000068120000}"/>
    <cellStyle name="Normal 14 2 2 2 2 5" xfId="1356" xr:uid="{00000000-0005-0000-0000-000069120000}"/>
    <cellStyle name="Normal 14 2 2 2 2 5 2" xfId="2831" xr:uid="{00000000-0005-0000-0000-00006A120000}"/>
    <cellStyle name="Normal 14 2 2 2 2 5 3" xfId="4268" xr:uid="{00000000-0005-0000-0000-00006B120000}"/>
    <cellStyle name="Normal 14 2 2 2 2 5 4" xfId="5705" xr:uid="{00000000-0005-0000-0000-00006C120000}"/>
    <cellStyle name="Normal 14 2 2 2 2 5 5" xfId="7151" xr:uid="{00000000-0005-0000-0000-00006D120000}"/>
    <cellStyle name="Normal 14 2 2 2 2 5 6" xfId="8592" xr:uid="{00000000-0005-0000-0000-00006E120000}"/>
    <cellStyle name="Normal 14 2 2 2 2 5 7" xfId="10025" xr:uid="{00000000-0005-0000-0000-00006F120000}"/>
    <cellStyle name="Normal 14 2 2 2 2 6" xfId="1830" xr:uid="{00000000-0005-0000-0000-000070120000}"/>
    <cellStyle name="Normal 14 2 2 2 2 7" xfId="3287" xr:uid="{00000000-0005-0000-0000-000071120000}"/>
    <cellStyle name="Normal 14 2 2 2 2 8" xfId="4724" xr:uid="{00000000-0005-0000-0000-000072120000}"/>
    <cellStyle name="Normal 14 2 2 2 2 9" xfId="6170" xr:uid="{00000000-0005-0000-0000-000073120000}"/>
    <cellStyle name="Normal 14 2 2 2 3" xfId="385" xr:uid="{00000000-0005-0000-0000-000074120000}"/>
    <cellStyle name="Normal 14 2 2 2 3 2" xfId="867" xr:uid="{00000000-0005-0000-0000-000075120000}"/>
    <cellStyle name="Normal 14 2 2 2 3 2 2" xfId="2358" xr:uid="{00000000-0005-0000-0000-000076120000}"/>
    <cellStyle name="Normal 14 2 2 2 3 2 3" xfId="3809" xr:uid="{00000000-0005-0000-0000-000077120000}"/>
    <cellStyle name="Normal 14 2 2 2 3 2 4" xfId="5246" xr:uid="{00000000-0005-0000-0000-000078120000}"/>
    <cellStyle name="Normal 14 2 2 2 3 2 5" xfId="6692" xr:uid="{00000000-0005-0000-0000-000079120000}"/>
    <cellStyle name="Normal 14 2 2 2 3 2 6" xfId="8132" xr:uid="{00000000-0005-0000-0000-00007A120000}"/>
    <cellStyle name="Normal 14 2 2 2 3 2 7" xfId="9566" xr:uid="{00000000-0005-0000-0000-00007B120000}"/>
    <cellStyle name="Normal 14 2 2 2 3 3" xfId="1421" xr:uid="{00000000-0005-0000-0000-00007C120000}"/>
    <cellStyle name="Normal 14 2 2 2 3 3 2" xfId="2896" xr:uid="{00000000-0005-0000-0000-00007D120000}"/>
    <cellStyle name="Normal 14 2 2 2 3 3 3" xfId="4333" xr:uid="{00000000-0005-0000-0000-00007E120000}"/>
    <cellStyle name="Normal 14 2 2 2 3 3 4" xfId="5770" xr:uid="{00000000-0005-0000-0000-00007F120000}"/>
    <cellStyle name="Normal 14 2 2 2 3 3 5" xfId="7216" xr:uid="{00000000-0005-0000-0000-000080120000}"/>
    <cellStyle name="Normal 14 2 2 2 3 3 6" xfId="8657" xr:uid="{00000000-0005-0000-0000-000081120000}"/>
    <cellStyle name="Normal 14 2 2 2 3 3 7" xfId="10090" xr:uid="{00000000-0005-0000-0000-000082120000}"/>
    <cellStyle name="Normal 14 2 2 2 3 4" xfId="1895" xr:uid="{00000000-0005-0000-0000-000083120000}"/>
    <cellStyle name="Normal 14 2 2 2 3 5" xfId="3352" xr:uid="{00000000-0005-0000-0000-000084120000}"/>
    <cellStyle name="Normal 14 2 2 2 3 6" xfId="4789" xr:uid="{00000000-0005-0000-0000-000085120000}"/>
    <cellStyle name="Normal 14 2 2 2 3 7" xfId="6235" xr:uid="{00000000-0005-0000-0000-000086120000}"/>
    <cellStyle name="Normal 14 2 2 2 3 8" xfId="7673" xr:uid="{00000000-0005-0000-0000-000087120000}"/>
    <cellStyle name="Normal 14 2 2 2 3 9" xfId="9110" xr:uid="{00000000-0005-0000-0000-000088120000}"/>
    <cellStyle name="Normal 14 2 2 2 4" xfId="524" xr:uid="{00000000-0005-0000-0000-000089120000}"/>
    <cellStyle name="Normal 14 2 2 2 4 2" xfId="1003" xr:uid="{00000000-0005-0000-0000-00008A120000}"/>
    <cellStyle name="Normal 14 2 2 2 4 2 2" xfId="2494" xr:uid="{00000000-0005-0000-0000-00008B120000}"/>
    <cellStyle name="Normal 14 2 2 2 4 2 3" xfId="3941" xr:uid="{00000000-0005-0000-0000-00008C120000}"/>
    <cellStyle name="Normal 14 2 2 2 4 2 4" xfId="5378" xr:uid="{00000000-0005-0000-0000-00008D120000}"/>
    <cellStyle name="Normal 14 2 2 2 4 2 5" xfId="6824" xr:uid="{00000000-0005-0000-0000-00008E120000}"/>
    <cellStyle name="Normal 14 2 2 2 4 2 6" xfId="8264" xr:uid="{00000000-0005-0000-0000-00008F120000}"/>
    <cellStyle name="Normal 14 2 2 2 4 2 7" xfId="9698" xr:uid="{00000000-0005-0000-0000-000090120000}"/>
    <cellStyle name="Normal 14 2 2 2 4 3" xfId="1555" xr:uid="{00000000-0005-0000-0000-000091120000}"/>
    <cellStyle name="Normal 14 2 2 2 4 3 2" xfId="3028" xr:uid="{00000000-0005-0000-0000-000092120000}"/>
    <cellStyle name="Normal 14 2 2 2 4 3 3" xfId="4465" xr:uid="{00000000-0005-0000-0000-000093120000}"/>
    <cellStyle name="Normal 14 2 2 2 4 3 4" xfId="5902" xr:uid="{00000000-0005-0000-0000-000094120000}"/>
    <cellStyle name="Normal 14 2 2 2 4 3 5" xfId="7348" xr:uid="{00000000-0005-0000-0000-000095120000}"/>
    <cellStyle name="Normal 14 2 2 2 4 3 6" xfId="8789" xr:uid="{00000000-0005-0000-0000-000096120000}"/>
    <cellStyle name="Normal 14 2 2 2 4 3 7" xfId="10222" xr:uid="{00000000-0005-0000-0000-000097120000}"/>
    <cellStyle name="Normal 14 2 2 2 4 4" xfId="2027" xr:uid="{00000000-0005-0000-0000-000098120000}"/>
    <cellStyle name="Normal 14 2 2 2 4 5" xfId="3484" xr:uid="{00000000-0005-0000-0000-000099120000}"/>
    <cellStyle name="Normal 14 2 2 2 4 6" xfId="4921" xr:uid="{00000000-0005-0000-0000-00009A120000}"/>
    <cellStyle name="Normal 14 2 2 2 4 7" xfId="6367" xr:uid="{00000000-0005-0000-0000-00009B120000}"/>
    <cellStyle name="Normal 14 2 2 2 4 8" xfId="7805" xr:uid="{00000000-0005-0000-0000-00009C120000}"/>
    <cellStyle name="Normal 14 2 2 2 4 9" xfId="9242" xr:uid="{00000000-0005-0000-0000-00009D120000}"/>
    <cellStyle name="Normal 14 2 2 2 5" xfId="589" xr:uid="{00000000-0005-0000-0000-00009E120000}"/>
    <cellStyle name="Normal 14 2 2 2 5 2" xfId="1068" xr:uid="{00000000-0005-0000-0000-00009F120000}"/>
    <cellStyle name="Normal 14 2 2 2 5 2 2" xfId="2559" xr:uid="{00000000-0005-0000-0000-0000A0120000}"/>
    <cellStyle name="Normal 14 2 2 2 5 2 3" xfId="4006" xr:uid="{00000000-0005-0000-0000-0000A1120000}"/>
    <cellStyle name="Normal 14 2 2 2 5 2 4" xfId="5443" xr:uid="{00000000-0005-0000-0000-0000A2120000}"/>
    <cellStyle name="Normal 14 2 2 2 5 2 5" xfId="6889" xr:uid="{00000000-0005-0000-0000-0000A3120000}"/>
    <cellStyle name="Normal 14 2 2 2 5 2 6" xfId="8329" xr:uid="{00000000-0005-0000-0000-0000A4120000}"/>
    <cellStyle name="Normal 14 2 2 2 5 2 7" xfId="9763" xr:uid="{00000000-0005-0000-0000-0000A5120000}"/>
    <cellStyle name="Normal 14 2 2 2 5 3" xfId="1620" xr:uid="{00000000-0005-0000-0000-0000A6120000}"/>
    <cellStyle name="Normal 14 2 2 2 5 3 2" xfId="3093" xr:uid="{00000000-0005-0000-0000-0000A7120000}"/>
    <cellStyle name="Normal 14 2 2 2 5 3 3" xfId="4530" xr:uid="{00000000-0005-0000-0000-0000A8120000}"/>
    <cellStyle name="Normal 14 2 2 2 5 3 4" xfId="5967" xr:uid="{00000000-0005-0000-0000-0000A9120000}"/>
    <cellStyle name="Normal 14 2 2 2 5 3 5" xfId="7413" xr:uid="{00000000-0005-0000-0000-0000AA120000}"/>
    <cellStyle name="Normal 14 2 2 2 5 3 6" xfId="8854" xr:uid="{00000000-0005-0000-0000-0000AB120000}"/>
    <cellStyle name="Normal 14 2 2 2 5 3 7" xfId="10287" xr:uid="{00000000-0005-0000-0000-0000AC120000}"/>
    <cellStyle name="Normal 14 2 2 2 5 4" xfId="2092" xr:uid="{00000000-0005-0000-0000-0000AD120000}"/>
    <cellStyle name="Normal 14 2 2 2 5 5" xfId="3549" xr:uid="{00000000-0005-0000-0000-0000AE120000}"/>
    <cellStyle name="Normal 14 2 2 2 5 6" xfId="4986" xr:uid="{00000000-0005-0000-0000-0000AF120000}"/>
    <cellStyle name="Normal 14 2 2 2 5 7" xfId="6432" xr:uid="{00000000-0005-0000-0000-0000B0120000}"/>
    <cellStyle name="Normal 14 2 2 2 5 8" xfId="7870" xr:uid="{00000000-0005-0000-0000-0000B1120000}"/>
    <cellStyle name="Normal 14 2 2 2 5 9" xfId="9306" xr:uid="{00000000-0005-0000-0000-0000B2120000}"/>
    <cellStyle name="Normal 14 2 2 2 6" xfId="731" xr:uid="{00000000-0005-0000-0000-0000B3120000}"/>
    <cellStyle name="Normal 14 2 2 2 6 2" xfId="2222" xr:uid="{00000000-0005-0000-0000-0000B4120000}"/>
    <cellStyle name="Normal 14 2 2 2 6 3" xfId="3679" xr:uid="{00000000-0005-0000-0000-0000B5120000}"/>
    <cellStyle name="Normal 14 2 2 2 6 4" xfId="5116" xr:uid="{00000000-0005-0000-0000-0000B6120000}"/>
    <cellStyle name="Normal 14 2 2 2 6 5" xfId="6562" xr:uid="{00000000-0005-0000-0000-0000B7120000}"/>
    <cellStyle name="Normal 14 2 2 2 6 6" xfId="8001" xr:uid="{00000000-0005-0000-0000-0000B8120000}"/>
    <cellStyle name="Normal 14 2 2 2 6 7" xfId="9436" xr:uid="{00000000-0005-0000-0000-0000B9120000}"/>
    <cellStyle name="Normal 14 2 2 2 7" xfId="1222" xr:uid="{00000000-0005-0000-0000-0000BA120000}"/>
    <cellStyle name="Normal 14 2 2 2 7 2" xfId="2701" xr:uid="{00000000-0005-0000-0000-0000BB120000}"/>
    <cellStyle name="Normal 14 2 2 2 7 3" xfId="4138" xr:uid="{00000000-0005-0000-0000-0000BC120000}"/>
    <cellStyle name="Normal 14 2 2 2 7 4" xfId="5575" xr:uid="{00000000-0005-0000-0000-0000BD120000}"/>
    <cellStyle name="Normal 14 2 2 2 7 5" xfId="7021" xr:uid="{00000000-0005-0000-0000-0000BE120000}"/>
    <cellStyle name="Normal 14 2 2 2 7 6" xfId="8462" xr:uid="{00000000-0005-0000-0000-0000BF120000}"/>
    <cellStyle name="Normal 14 2 2 2 7 7" xfId="9895" xr:uid="{00000000-0005-0000-0000-0000C0120000}"/>
    <cellStyle name="Normal 14 2 2 2 8" xfId="1287" xr:uid="{00000000-0005-0000-0000-0000C1120000}"/>
    <cellStyle name="Normal 14 2 2 2 8 2" xfId="2766" xr:uid="{00000000-0005-0000-0000-0000C2120000}"/>
    <cellStyle name="Normal 14 2 2 2 8 3" xfId="4203" xr:uid="{00000000-0005-0000-0000-0000C3120000}"/>
    <cellStyle name="Normal 14 2 2 2 8 4" xfId="5640" xr:uid="{00000000-0005-0000-0000-0000C4120000}"/>
    <cellStyle name="Normal 14 2 2 2 8 5" xfId="7086" xr:uid="{00000000-0005-0000-0000-0000C5120000}"/>
    <cellStyle name="Normal 14 2 2 2 8 6" xfId="8527" xr:uid="{00000000-0005-0000-0000-0000C6120000}"/>
    <cellStyle name="Normal 14 2 2 2 8 7" xfId="9960" xr:uid="{00000000-0005-0000-0000-0000C7120000}"/>
    <cellStyle name="Normal 14 2 2 2 9" xfId="1765" xr:uid="{00000000-0005-0000-0000-0000C8120000}"/>
    <cellStyle name="Normal 14 2 2 3" xfId="285" xr:uid="{00000000-0005-0000-0000-0000C9120000}"/>
    <cellStyle name="Normal 14 2 2 3 10" xfId="7577" xr:uid="{00000000-0005-0000-0000-0000CA120000}"/>
    <cellStyle name="Normal 14 2 2 3 11" xfId="9016" xr:uid="{00000000-0005-0000-0000-0000CB120000}"/>
    <cellStyle name="Normal 14 2 2 3 2" xfId="423" xr:uid="{00000000-0005-0000-0000-0000CC120000}"/>
    <cellStyle name="Normal 14 2 2 3 2 2" xfId="905" xr:uid="{00000000-0005-0000-0000-0000CD120000}"/>
    <cellStyle name="Normal 14 2 2 3 2 2 2" xfId="2396" xr:uid="{00000000-0005-0000-0000-0000CE120000}"/>
    <cellStyle name="Normal 14 2 2 3 2 2 3" xfId="3843" xr:uid="{00000000-0005-0000-0000-0000CF120000}"/>
    <cellStyle name="Normal 14 2 2 3 2 2 4" xfId="5280" xr:uid="{00000000-0005-0000-0000-0000D0120000}"/>
    <cellStyle name="Normal 14 2 2 3 2 2 5" xfId="6726" xr:uid="{00000000-0005-0000-0000-0000D1120000}"/>
    <cellStyle name="Normal 14 2 2 3 2 2 6" xfId="8166" xr:uid="{00000000-0005-0000-0000-0000D2120000}"/>
    <cellStyle name="Normal 14 2 2 3 2 2 7" xfId="9600" xr:uid="{00000000-0005-0000-0000-0000D3120000}"/>
    <cellStyle name="Normal 14 2 2 3 2 3" xfId="1457" xr:uid="{00000000-0005-0000-0000-0000D4120000}"/>
    <cellStyle name="Normal 14 2 2 3 2 3 2" xfId="2930" xr:uid="{00000000-0005-0000-0000-0000D5120000}"/>
    <cellStyle name="Normal 14 2 2 3 2 3 3" xfId="4367" xr:uid="{00000000-0005-0000-0000-0000D6120000}"/>
    <cellStyle name="Normal 14 2 2 3 2 3 4" xfId="5804" xr:uid="{00000000-0005-0000-0000-0000D7120000}"/>
    <cellStyle name="Normal 14 2 2 3 2 3 5" xfId="7250" xr:uid="{00000000-0005-0000-0000-0000D8120000}"/>
    <cellStyle name="Normal 14 2 2 3 2 3 6" xfId="8691" xr:uid="{00000000-0005-0000-0000-0000D9120000}"/>
    <cellStyle name="Normal 14 2 2 3 2 3 7" xfId="10124" xr:uid="{00000000-0005-0000-0000-0000DA120000}"/>
    <cellStyle name="Normal 14 2 2 3 2 4" xfId="1929" xr:uid="{00000000-0005-0000-0000-0000DB120000}"/>
    <cellStyle name="Normal 14 2 2 3 2 5" xfId="3386" xr:uid="{00000000-0005-0000-0000-0000DC120000}"/>
    <cellStyle name="Normal 14 2 2 3 2 6" xfId="4823" xr:uid="{00000000-0005-0000-0000-0000DD120000}"/>
    <cellStyle name="Normal 14 2 2 3 2 7" xfId="6269" xr:uid="{00000000-0005-0000-0000-0000DE120000}"/>
    <cellStyle name="Normal 14 2 2 3 2 8" xfId="7707" xr:uid="{00000000-0005-0000-0000-0000DF120000}"/>
    <cellStyle name="Normal 14 2 2 3 2 9" xfId="9144" xr:uid="{00000000-0005-0000-0000-0000E0120000}"/>
    <cellStyle name="Normal 14 2 2 3 3" xfId="627" xr:uid="{00000000-0005-0000-0000-0000E1120000}"/>
    <cellStyle name="Normal 14 2 2 3 3 2" xfId="1106" xr:uid="{00000000-0005-0000-0000-0000E2120000}"/>
    <cellStyle name="Normal 14 2 2 3 3 2 2" xfId="2597" xr:uid="{00000000-0005-0000-0000-0000E3120000}"/>
    <cellStyle name="Normal 14 2 2 3 3 2 3" xfId="4040" xr:uid="{00000000-0005-0000-0000-0000E4120000}"/>
    <cellStyle name="Normal 14 2 2 3 3 2 4" xfId="5477" xr:uid="{00000000-0005-0000-0000-0000E5120000}"/>
    <cellStyle name="Normal 14 2 2 3 3 2 5" xfId="6923" xr:uid="{00000000-0005-0000-0000-0000E6120000}"/>
    <cellStyle name="Normal 14 2 2 3 3 2 6" xfId="8363" xr:uid="{00000000-0005-0000-0000-0000E7120000}"/>
    <cellStyle name="Normal 14 2 2 3 3 2 7" xfId="9797" xr:uid="{00000000-0005-0000-0000-0000E8120000}"/>
    <cellStyle name="Normal 14 2 2 3 3 3" xfId="1656" xr:uid="{00000000-0005-0000-0000-0000E9120000}"/>
    <cellStyle name="Normal 14 2 2 3 3 3 2" xfId="3127" xr:uid="{00000000-0005-0000-0000-0000EA120000}"/>
    <cellStyle name="Normal 14 2 2 3 3 3 3" xfId="4564" xr:uid="{00000000-0005-0000-0000-0000EB120000}"/>
    <cellStyle name="Normal 14 2 2 3 3 3 4" xfId="6001" xr:uid="{00000000-0005-0000-0000-0000EC120000}"/>
    <cellStyle name="Normal 14 2 2 3 3 3 5" xfId="7447" xr:uid="{00000000-0005-0000-0000-0000ED120000}"/>
    <cellStyle name="Normal 14 2 2 3 3 3 6" xfId="8888" xr:uid="{00000000-0005-0000-0000-0000EE120000}"/>
    <cellStyle name="Normal 14 2 2 3 3 3 7" xfId="10321" xr:uid="{00000000-0005-0000-0000-0000EF120000}"/>
    <cellStyle name="Normal 14 2 2 3 3 4" xfId="2126" xr:uid="{00000000-0005-0000-0000-0000F0120000}"/>
    <cellStyle name="Normal 14 2 2 3 3 5" xfId="3583" xr:uid="{00000000-0005-0000-0000-0000F1120000}"/>
    <cellStyle name="Normal 14 2 2 3 3 6" xfId="5020" xr:uid="{00000000-0005-0000-0000-0000F2120000}"/>
    <cellStyle name="Normal 14 2 2 3 3 7" xfId="6466" xr:uid="{00000000-0005-0000-0000-0000F3120000}"/>
    <cellStyle name="Normal 14 2 2 3 3 8" xfId="7905" xr:uid="{00000000-0005-0000-0000-0000F4120000}"/>
    <cellStyle name="Normal 14 2 2 3 3 9" xfId="9340" xr:uid="{00000000-0005-0000-0000-0000F5120000}"/>
    <cellStyle name="Normal 14 2 2 3 4" xfId="769" xr:uid="{00000000-0005-0000-0000-0000F6120000}"/>
    <cellStyle name="Normal 14 2 2 3 4 2" xfId="2260" xr:uid="{00000000-0005-0000-0000-0000F7120000}"/>
    <cellStyle name="Normal 14 2 2 3 4 3" xfId="3713" xr:uid="{00000000-0005-0000-0000-0000F8120000}"/>
    <cellStyle name="Normal 14 2 2 3 4 4" xfId="5150" xr:uid="{00000000-0005-0000-0000-0000F9120000}"/>
    <cellStyle name="Normal 14 2 2 3 4 5" xfId="6596" xr:uid="{00000000-0005-0000-0000-0000FA120000}"/>
    <cellStyle name="Normal 14 2 2 3 4 6" xfId="8036" xr:uid="{00000000-0005-0000-0000-0000FB120000}"/>
    <cellStyle name="Normal 14 2 2 3 4 7" xfId="9470" xr:uid="{00000000-0005-0000-0000-0000FC120000}"/>
    <cellStyle name="Normal 14 2 2 3 5" xfId="1325" xr:uid="{00000000-0005-0000-0000-0000FD120000}"/>
    <cellStyle name="Normal 14 2 2 3 5 2" xfId="2800" xr:uid="{00000000-0005-0000-0000-0000FE120000}"/>
    <cellStyle name="Normal 14 2 2 3 5 3" xfId="4237" xr:uid="{00000000-0005-0000-0000-0000FF120000}"/>
    <cellStyle name="Normal 14 2 2 3 5 4" xfId="5674" xr:uid="{00000000-0005-0000-0000-000000130000}"/>
    <cellStyle name="Normal 14 2 2 3 5 5" xfId="7120" xr:uid="{00000000-0005-0000-0000-000001130000}"/>
    <cellStyle name="Normal 14 2 2 3 5 6" xfId="8561" xr:uid="{00000000-0005-0000-0000-000002130000}"/>
    <cellStyle name="Normal 14 2 2 3 5 7" xfId="9994" xr:uid="{00000000-0005-0000-0000-000003130000}"/>
    <cellStyle name="Normal 14 2 2 3 6" xfId="1799" xr:uid="{00000000-0005-0000-0000-000004130000}"/>
    <cellStyle name="Normal 14 2 2 3 7" xfId="3256" xr:uid="{00000000-0005-0000-0000-000005130000}"/>
    <cellStyle name="Normal 14 2 2 3 8" xfId="4693" xr:uid="{00000000-0005-0000-0000-000006130000}"/>
    <cellStyle name="Normal 14 2 2 3 9" xfId="6139" xr:uid="{00000000-0005-0000-0000-000007130000}"/>
    <cellStyle name="Normal 14 2 2 4" xfId="354" xr:uid="{00000000-0005-0000-0000-000008130000}"/>
    <cellStyle name="Normal 14 2 2 4 2" xfId="836" xr:uid="{00000000-0005-0000-0000-000009130000}"/>
    <cellStyle name="Normal 14 2 2 4 2 2" xfId="2327" xr:uid="{00000000-0005-0000-0000-00000A130000}"/>
    <cellStyle name="Normal 14 2 2 4 2 3" xfId="3778" xr:uid="{00000000-0005-0000-0000-00000B130000}"/>
    <cellStyle name="Normal 14 2 2 4 2 4" xfId="5215" xr:uid="{00000000-0005-0000-0000-00000C130000}"/>
    <cellStyle name="Normal 14 2 2 4 2 5" xfId="6661" xr:uid="{00000000-0005-0000-0000-00000D130000}"/>
    <cellStyle name="Normal 14 2 2 4 2 6" xfId="8101" xr:uid="{00000000-0005-0000-0000-00000E130000}"/>
    <cellStyle name="Normal 14 2 2 4 2 7" xfId="9535" xr:uid="{00000000-0005-0000-0000-00000F130000}"/>
    <cellStyle name="Normal 14 2 2 4 3" xfId="1390" xr:uid="{00000000-0005-0000-0000-000010130000}"/>
    <cellStyle name="Normal 14 2 2 4 3 2" xfId="2865" xr:uid="{00000000-0005-0000-0000-000011130000}"/>
    <cellStyle name="Normal 14 2 2 4 3 3" xfId="4302" xr:uid="{00000000-0005-0000-0000-000012130000}"/>
    <cellStyle name="Normal 14 2 2 4 3 4" xfId="5739" xr:uid="{00000000-0005-0000-0000-000013130000}"/>
    <cellStyle name="Normal 14 2 2 4 3 5" xfId="7185" xr:uid="{00000000-0005-0000-0000-000014130000}"/>
    <cellStyle name="Normal 14 2 2 4 3 6" xfId="8626" xr:uid="{00000000-0005-0000-0000-000015130000}"/>
    <cellStyle name="Normal 14 2 2 4 3 7" xfId="10059" xr:uid="{00000000-0005-0000-0000-000016130000}"/>
    <cellStyle name="Normal 14 2 2 4 4" xfId="1864" xr:uid="{00000000-0005-0000-0000-000017130000}"/>
    <cellStyle name="Normal 14 2 2 4 5" xfId="3321" xr:uid="{00000000-0005-0000-0000-000018130000}"/>
    <cellStyle name="Normal 14 2 2 4 6" xfId="4758" xr:uid="{00000000-0005-0000-0000-000019130000}"/>
    <cellStyle name="Normal 14 2 2 4 7" xfId="6204" xr:uid="{00000000-0005-0000-0000-00001A130000}"/>
    <cellStyle name="Normal 14 2 2 4 8" xfId="7642" xr:uid="{00000000-0005-0000-0000-00001B130000}"/>
    <cellStyle name="Normal 14 2 2 4 9" xfId="9079" xr:uid="{00000000-0005-0000-0000-00001C130000}"/>
    <cellStyle name="Normal 14 2 2 5" xfId="493" xr:uid="{00000000-0005-0000-0000-00001D130000}"/>
    <cellStyle name="Normal 14 2 2 5 2" xfId="972" xr:uid="{00000000-0005-0000-0000-00001E130000}"/>
    <cellStyle name="Normal 14 2 2 5 2 2" xfId="2463" xr:uid="{00000000-0005-0000-0000-00001F130000}"/>
    <cellStyle name="Normal 14 2 2 5 2 3" xfId="3910" xr:uid="{00000000-0005-0000-0000-000020130000}"/>
    <cellStyle name="Normal 14 2 2 5 2 4" xfId="5347" xr:uid="{00000000-0005-0000-0000-000021130000}"/>
    <cellStyle name="Normal 14 2 2 5 2 5" xfId="6793" xr:uid="{00000000-0005-0000-0000-000022130000}"/>
    <cellStyle name="Normal 14 2 2 5 2 6" xfId="8233" xr:uid="{00000000-0005-0000-0000-000023130000}"/>
    <cellStyle name="Normal 14 2 2 5 2 7" xfId="9667" xr:uid="{00000000-0005-0000-0000-000024130000}"/>
    <cellStyle name="Normal 14 2 2 5 3" xfId="1524" xr:uid="{00000000-0005-0000-0000-000025130000}"/>
    <cellStyle name="Normal 14 2 2 5 3 2" xfId="2997" xr:uid="{00000000-0005-0000-0000-000026130000}"/>
    <cellStyle name="Normal 14 2 2 5 3 3" xfId="4434" xr:uid="{00000000-0005-0000-0000-000027130000}"/>
    <cellStyle name="Normal 14 2 2 5 3 4" xfId="5871" xr:uid="{00000000-0005-0000-0000-000028130000}"/>
    <cellStyle name="Normal 14 2 2 5 3 5" xfId="7317" xr:uid="{00000000-0005-0000-0000-000029130000}"/>
    <cellStyle name="Normal 14 2 2 5 3 6" xfId="8758" xr:uid="{00000000-0005-0000-0000-00002A130000}"/>
    <cellStyle name="Normal 14 2 2 5 3 7" xfId="10191" xr:uid="{00000000-0005-0000-0000-00002B130000}"/>
    <cellStyle name="Normal 14 2 2 5 4" xfId="1996" xr:uid="{00000000-0005-0000-0000-00002C130000}"/>
    <cellStyle name="Normal 14 2 2 5 5" xfId="3453" xr:uid="{00000000-0005-0000-0000-00002D130000}"/>
    <cellStyle name="Normal 14 2 2 5 6" xfId="4890" xr:uid="{00000000-0005-0000-0000-00002E130000}"/>
    <cellStyle name="Normal 14 2 2 5 7" xfId="6336" xr:uid="{00000000-0005-0000-0000-00002F130000}"/>
    <cellStyle name="Normal 14 2 2 5 8" xfId="7774" xr:uid="{00000000-0005-0000-0000-000030130000}"/>
    <cellStyle name="Normal 14 2 2 5 9" xfId="9211" xr:uid="{00000000-0005-0000-0000-000031130000}"/>
    <cellStyle name="Normal 14 2 2 6" xfId="558" xr:uid="{00000000-0005-0000-0000-000032130000}"/>
    <cellStyle name="Normal 14 2 2 6 2" xfId="1037" xr:uid="{00000000-0005-0000-0000-000033130000}"/>
    <cellStyle name="Normal 14 2 2 6 2 2" xfId="2528" xr:uid="{00000000-0005-0000-0000-000034130000}"/>
    <cellStyle name="Normal 14 2 2 6 2 3" xfId="3975" xr:uid="{00000000-0005-0000-0000-000035130000}"/>
    <cellStyle name="Normal 14 2 2 6 2 4" xfId="5412" xr:uid="{00000000-0005-0000-0000-000036130000}"/>
    <cellStyle name="Normal 14 2 2 6 2 5" xfId="6858" xr:uid="{00000000-0005-0000-0000-000037130000}"/>
    <cellStyle name="Normal 14 2 2 6 2 6" xfId="8298" xr:uid="{00000000-0005-0000-0000-000038130000}"/>
    <cellStyle name="Normal 14 2 2 6 2 7" xfId="9732" xr:uid="{00000000-0005-0000-0000-000039130000}"/>
    <cellStyle name="Normal 14 2 2 6 3" xfId="1589" xr:uid="{00000000-0005-0000-0000-00003A130000}"/>
    <cellStyle name="Normal 14 2 2 6 3 2" xfId="3062" xr:uid="{00000000-0005-0000-0000-00003B130000}"/>
    <cellStyle name="Normal 14 2 2 6 3 3" xfId="4499" xr:uid="{00000000-0005-0000-0000-00003C130000}"/>
    <cellStyle name="Normal 14 2 2 6 3 4" xfId="5936" xr:uid="{00000000-0005-0000-0000-00003D130000}"/>
    <cellStyle name="Normal 14 2 2 6 3 5" xfId="7382" xr:uid="{00000000-0005-0000-0000-00003E130000}"/>
    <cellStyle name="Normal 14 2 2 6 3 6" xfId="8823" xr:uid="{00000000-0005-0000-0000-00003F130000}"/>
    <cellStyle name="Normal 14 2 2 6 3 7" xfId="10256" xr:uid="{00000000-0005-0000-0000-000040130000}"/>
    <cellStyle name="Normal 14 2 2 6 4" xfId="2061" xr:uid="{00000000-0005-0000-0000-000041130000}"/>
    <cellStyle name="Normal 14 2 2 6 5" xfId="3518" xr:uid="{00000000-0005-0000-0000-000042130000}"/>
    <cellStyle name="Normal 14 2 2 6 6" xfId="4955" xr:uid="{00000000-0005-0000-0000-000043130000}"/>
    <cellStyle name="Normal 14 2 2 6 7" xfId="6401" xr:uid="{00000000-0005-0000-0000-000044130000}"/>
    <cellStyle name="Normal 14 2 2 6 8" xfId="7839" xr:uid="{00000000-0005-0000-0000-000045130000}"/>
    <cellStyle name="Normal 14 2 2 6 9" xfId="9275" xr:uid="{00000000-0005-0000-0000-000046130000}"/>
    <cellStyle name="Normal 14 2 2 7" xfId="700" xr:uid="{00000000-0005-0000-0000-000047130000}"/>
    <cellStyle name="Normal 14 2 2 7 2" xfId="2191" xr:uid="{00000000-0005-0000-0000-000048130000}"/>
    <cellStyle name="Normal 14 2 2 7 3" xfId="3648" xr:uid="{00000000-0005-0000-0000-000049130000}"/>
    <cellStyle name="Normal 14 2 2 7 4" xfId="5085" xr:uid="{00000000-0005-0000-0000-00004A130000}"/>
    <cellStyle name="Normal 14 2 2 7 5" xfId="6531" xr:uid="{00000000-0005-0000-0000-00004B130000}"/>
    <cellStyle name="Normal 14 2 2 7 6" xfId="7970" xr:uid="{00000000-0005-0000-0000-00004C130000}"/>
    <cellStyle name="Normal 14 2 2 7 7" xfId="9405" xr:uid="{00000000-0005-0000-0000-00004D130000}"/>
    <cellStyle name="Normal 14 2 2 8" xfId="1191" xr:uid="{00000000-0005-0000-0000-00004E130000}"/>
    <cellStyle name="Normal 14 2 2 8 2" xfId="2670" xr:uid="{00000000-0005-0000-0000-00004F130000}"/>
    <cellStyle name="Normal 14 2 2 8 3" xfId="4107" xr:uid="{00000000-0005-0000-0000-000050130000}"/>
    <cellStyle name="Normal 14 2 2 8 4" xfId="5544" xr:uid="{00000000-0005-0000-0000-000051130000}"/>
    <cellStyle name="Normal 14 2 2 8 5" xfId="6990" xr:uid="{00000000-0005-0000-0000-000052130000}"/>
    <cellStyle name="Normal 14 2 2 8 6" xfId="8431" xr:uid="{00000000-0005-0000-0000-000053130000}"/>
    <cellStyle name="Normal 14 2 2 8 7" xfId="9864" xr:uid="{00000000-0005-0000-0000-000054130000}"/>
    <cellStyle name="Normal 14 2 2 9" xfId="1256" xr:uid="{00000000-0005-0000-0000-000055130000}"/>
    <cellStyle name="Normal 14 2 2 9 2" xfId="2735" xr:uid="{00000000-0005-0000-0000-000056130000}"/>
    <cellStyle name="Normal 14 2 2 9 3" xfId="4172" xr:uid="{00000000-0005-0000-0000-000057130000}"/>
    <cellStyle name="Normal 14 2 2 9 4" xfId="5609" xr:uid="{00000000-0005-0000-0000-000058130000}"/>
    <cellStyle name="Normal 14 2 2 9 5" xfId="7055" xr:uid="{00000000-0005-0000-0000-000059130000}"/>
    <cellStyle name="Normal 14 2 2 9 6" xfId="8496" xr:uid="{00000000-0005-0000-0000-00005A130000}"/>
    <cellStyle name="Normal 14 2 2 9 7" xfId="9929" xr:uid="{00000000-0005-0000-0000-00005B130000}"/>
    <cellStyle name="Normal 14 2 3" xfId="232" xr:uid="{00000000-0005-0000-0000-00005C130000}"/>
    <cellStyle name="Normal 14 2 3 10" xfId="3207" xr:uid="{00000000-0005-0000-0000-00005D130000}"/>
    <cellStyle name="Normal 14 2 3 11" xfId="4644" xr:uid="{00000000-0005-0000-0000-00005E130000}"/>
    <cellStyle name="Normal 14 2 3 12" xfId="6090" xr:uid="{00000000-0005-0000-0000-00005F130000}"/>
    <cellStyle name="Normal 14 2 3 13" xfId="7528" xr:uid="{00000000-0005-0000-0000-000060130000}"/>
    <cellStyle name="Normal 14 2 3 14" xfId="8968" xr:uid="{00000000-0005-0000-0000-000061130000}"/>
    <cellStyle name="Normal 14 2 3 2" xfId="301" xr:uid="{00000000-0005-0000-0000-000062130000}"/>
    <cellStyle name="Normal 14 2 3 2 10" xfId="7593" xr:uid="{00000000-0005-0000-0000-000063130000}"/>
    <cellStyle name="Normal 14 2 3 2 11" xfId="9032" xr:uid="{00000000-0005-0000-0000-000064130000}"/>
    <cellStyle name="Normal 14 2 3 2 2" xfId="439" xr:uid="{00000000-0005-0000-0000-000065130000}"/>
    <cellStyle name="Normal 14 2 3 2 2 2" xfId="921" xr:uid="{00000000-0005-0000-0000-000066130000}"/>
    <cellStyle name="Normal 14 2 3 2 2 2 2" xfId="2412" xr:uid="{00000000-0005-0000-0000-000067130000}"/>
    <cellStyle name="Normal 14 2 3 2 2 2 3" xfId="3859" xr:uid="{00000000-0005-0000-0000-000068130000}"/>
    <cellStyle name="Normal 14 2 3 2 2 2 4" xfId="5296" xr:uid="{00000000-0005-0000-0000-000069130000}"/>
    <cellStyle name="Normal 14 2 3 2 2 2 5" xfId="6742" xr:uid="{00000000-0005-0000-0000-00006A130000}"/>
    <cellStyle name="Normal 14 2 3 2 2 2 6" xfId="8182" xr:uid="{00000000-0005-0000-0000-00006B130000}"/>
    <cellStyle name="Normal 14 2 3 2 2 2 7" xfId="9616" xr:uid="{00000000-0005-0000-0000-00006C130000}"/>
    <cellStyle name="Normal 14 2 3 2 2 3" xfId="1473" xr:uid="{00000000-0005-0000-0000-00006D130000}"/>
    <cellStyle name="Normal 14 2 3 2 2 3 2" xfId="2946" xr:uid="{00000000-0005-0000-0000-00006E130000}"/>
    <cellStyle name="Normal 14 2 3 2 2 3 3" xfId="4383" xr:uid="{00000000-0005-0000-0000-00006F130000}"/>
    <cellStyle name="Normal 14 2 3 2 2 3 4" xfId="5820" xr:uid="{00000000-0005-0000-0000-000070130000}"/>
    <cellStyle name="Normal 14 2 3 2 2 3 5" xfId="7266" xr:uid="{00000000-0005-0000-0000-000071130000}"/>
    <cellStyle name="Normal 14 2 3 2 2 3 6" xfId="8707" xr:uid="{00000000-0005-0000-0000-000072130000}"/>
    <cellStyle name="Normal 14 2 3 2 2 3 7" xfId="10140" xr:uid="{00000000-0005-0000-0000-000073130000}"/>
    <cellStyle name="Normal 14 2 3 2 2 4" xfId="1945" xr:uid="{00000000-0005-0000-0000-000074130000}"/>
    <cellStyle name="Normal 14 2 3 2 2 5" xfId="3402" xr:uid="{00000000-0005-0000-0000-000075130000}"/>
    <cellStyle name="Normal 14 2 3 2 2 6" xfId="4839" xr:uid="{00000000-0005-0000-0000-000076130000}"/>
    <cellStyle name="Normal 14 2 3 2 2 7" xfId="6285" xr:uid="{00000000-0005-0000-0000-000077130000}"/>
    <cellStyle name="Normal 14 2 3 2 2 8" xfId="7723" xr:uid="{00000000-0005-0000-0000-000078130000}"/>
    <cellStyle name="Normal 14 2 3 2 2 9" xfId="9160" xr:uid="{00000000-0005-0000-0000-000079130000}"/>
    <cellStyle name="Normal 14 2 3 2 3" xfId="643" xr:uid="{00000000-0005-0000-0000-00007A130000}"/>
    <cellStyle name="Normal 14 2 3 2 3 2" xfId="1122" xr:uid="{00000000-0005-0000-0000-00007B130000}"/>
    <cellStyle name="Normal 14 2 3 2 3 2 2" xfId="2613" xr:uid="{00000000-0005-0000-0000-00007C130000}"/>
    <cellStyle name="Normal 14 2 3 2 3 2 3" xfId="4056" xr:uid="{00000000-0005-0000-0000-00007D130000}"/>
    <cellStyle name="Normal 14 2 3 2 3 2 4" xfId="5493" xr:uid="{00000000-0005-0000-0000-00007E130000}"/>
    <cellStyle name="Normal 14 2 3 2 3 2 5" xfId="6939" xr:uid="{00000000-0005-0000-0000-00007F130000}"/>
    <cellStyle name="Normal 14 2 3 2 3 2 6" xfId="8379" xr:uid="{00000000-0005-0000-0000-000080130000}"/>
    <cellStyle name="Normal 14 2 3 2 3 2 7" xfId="9813" xr:uid="{00000000-0005-0000-0000-000081130000}"/>
    <cellStyle name="Normal 14 2 3 2 3 3" xfId="1672" xr:uid="{00000000-0005-0000-0000-000082130000}"/>
    <cellStyle name="Normal 14 2 3 2 3 3 2" xfId="3143" xr:uid="{00000000-0005-0000-0000-000083130000}"/>
    <cellStyle name="Normal 14 2 3 2 3 3 3" xfId="4580" xr:uid="{00000000-0005-0000-0000-000084130000}"/>
    <cellStyle name="Normal 14 2 3 2 3 3 4" xfId="6017" xr:uid="{00000000-0005-0000-0000-000085130000}"/>
    <cellStyle name="Normal 14 2 3 2 3 3 5" xfId="7463" xr:uid="{00000000-0005-0000-0000-000086130000}"/>
    <cellStyle name="Normal 14 2 3 2 3 3 6" xfId="8904" xr:uid="{00000000-0005-0000-0000-000087130000}"/>
    <cellStyle name="Normal 14 2 3 2 3 3 7" xfId="10337" xr:uid="{00000000-0005-0000-0000-000088130000}"/>
    <cellStyle name="Normal 14 2 3 2 3 4" xfId="2142" xr:uid="{00000000-0005-0000-0000-000089130000}"/>
    <cellStyle name="Normal 14 2 3 2 3 5" xfId="3599" xr:uid="{00000000-0005-0000-0000-00008A130000}"/>
    <cellStyle name="Normal 14 2 3 2 3 6" xfId="5036" xr:uid="{00000000-0005-0000-0000-00008B130000}"/>
    <cellStyle name="Normal 14 2 3 2 3 7" xfId="6482" xr:uid="{00000000-0005-0000-0000-00008C130000}"/>
    <cellStyle name="Normal 14 2 3 2 3 8" xfId="7921" xr:uid="{00000000-0005-0000-0000-00008D130000}"/>
    <cellStyle name="Normal 14 2 3 2 3 9" xfId="9356" xr:uid="{00000000-0005-0000-0000-00008E130000}"/>
    <cellStyle name="Normal 14 2 3 2 4" xfId="785" xr:uid="{00000000-0005-0000-0000-00008F130000}"/>
    <cellStyle name="Normal 14 2 3 2 4 2" xfId="2276" xr:uid="{00000000-0005-0000-0000-000090130000}"/>
    <cellStyle name="Normal 14 2 3 2 4 3" xfId="3729" xr:uid="{00000000-0005-0000-0000-000091130000}"/>
    <cellStyle name="Normal 14 2 3 2 4 4" xfId="5166" xr:uid="{00000000-0005-0000-0000-000092130000}"/>
    <cellStyle name="Normal 14 2 3 2 4 5" xfId="6612" xr:uid="{00000000-0005-0000-0000-000093130000}"/>
    <cellStyle name="Normal 14 2 3 2 4 6" xfId="8052" xr:uid="{00000000-0005-0000-0000-000094130000}"/>
    <cellStyle name="Normal 14 2 3 2 4 7" xfId="9486" xr:uid="{00000000-0005-0000-0000-000095130000}"/>
    <cellStyle name="Normal 14 2 3 2 5" xfId="1341" xr:uid="{00000000-0005-0000-0000-000096130000}"/>
    <cellStyle name="Normal 14 2 3 2 5 2" xfId="2816" xr:uid="{00000000-0005-0000-0000-000097130000}"/>
    <cellStyle name="Normal 14 2 3 2 5 3" xfId="4253" xr:uid="{00000000-0005-0000-0000-000098130000}"/>
    <cellStyle name="Normal 14 2 3 2 5 4" xfId="5690" xr:uid="{00000000-0005-0000-0000-000099130000}"/>
    <cellStyle name="Normal 14 2 3 2 5 5" xfId="7136" xr:uid="{00000000-0005-0000-0000-00009A130000}"/>
    <cellStyle name="Normal 14 2 3 2 5 6" xfId="8577" xr:uid="{00000000-0005-0000-0000-00009B130000}"/>
    <cellStyle name="Normal 14 2 3 2 5 7" xfId="10010" xr:uid="{00000000-0005-0000-0000-00009C130000}"/>
    <cellStyle name="Normal 14 2 3 2 6" xfId="1815" xr:uid="{00000000-0005-0000-0000-00009D130000}"/>
    <cellStyle name="Normal 14 2 3 2 7" xfId="3272" xr:uid="{00000000-0005-0000-0000-00009E130000}"/>
    <cellStyle name="Normal 14 2 3 2 8" xfId="4709" xr:uid="{00000000-0005-0000-0000-00009F130000}"/>
    <cellStyle name="Normal 14 2 3 2 9" xfId="6155" xr:uid="{00000000-0005-0000-0000-0000A0130000}"/>
    <cellStyle name="Normal 14 2 3 3" xfId="370" xr:uid="{00000000-0005-0000-0000-0000A1130000}"/>
    <cellStyle name="Normal 14 2 3 3 2" xfId="852" xr:uid="{00000000-0005-0000-0000-0000A2130000}"/>
    <cellStyle name="Normal 14 2 3 3 2 2" xfId="2343" xr:uid="{00000000-0005-0000-0000-0000A3130000}"/>
    <cellStyle name="Normal 14 2 3 3 2 3" xfId="3794" xr:uid="{00000000-0005-0000-0000-0000A4130000}"/>
    <cellStyle name="Normal 14 2 3 3 2 4" xfId="5231" xr:uid="{00000000-0005-0000-0000-0000A5130000}"/>
    <cellStyle name="Normal 14 2 3 3 2 5" xfId="6677" xr:uid="{00000000-0005-0000-0000-0000A6130000}"/>
    <cellStyle name="Normal 14 2 3 3 2 6" xfId="8117" xr:uid="{00000000-0005-0000-0000-0000A7130000}"/>
    <cellStyle name="Normal 14 2 3 3 2 7" xfId="9551" xr:uid="{00000000-0005-0000-0000-0000A8130000}"/>
    <cellStyle name="Normal 14 2 3 3 3" xfId="1406" xr:uid="{00000000-0005-0000-0000-0000A9130000}"/>
    <cellStyle name="Normal 14 2 3 3 3 2" xfId="2881" xr:uid="{00000000-0005-0000-0000-0000AA130000}"/>
    <cellStyle name="Normal 14 2 3 3 3 3" xfId="4318" xr:uid="{00000000-0005-0000-0000-0000AB130000}"/>
    <cellStyle name="Normal 14 2 3 3 3 4" xfId="5755" xr:uid="{00000000-0005-0000-0000-0000AC130000}"/>
    <cellStyle name="Normal 14 2 3 3 3 5" xfId="7201" xr:uid="{00000000-0005-0000-0000-0000AD130000}"/>
    <cellStyle name="Normal 14 2 3 3 3 6" xfId="8642" xr:uid="{00000000-0005-0000-0000-0000AE130000}"/>
    <cellStyle name="Normal 14 2 3 3 3 7" xfId="10075" xr:uid="{00000000-0005-0000-0000-0000AF130000}"/>
    <cellStyle name="Normal 14 2 3 3 4" xfId="1880" xr:uid="{00000000-0005-0000-0000-0000B0130000}"/>
    <cellStyle name="Normal 14 2 3 3 5" xfId="3337" xr:uid="{00000000-0005-0000-0000-0000B1130000}"/>
    <cellStyle name="Normal 14 2 3 3 6" xfId="4774" xr:uid="{00000000-0005-0000-0000-0000B2130000}"/>
    <cellStyle name="Normal 14 2 3 3 7" xfId="6220" xr:uid="{00000000-0005-0000-0000-0000B3130000}"/>
    <cellStyle name="Normal 14 2 3 3 8" xfId="7658" xr:uid="{00000000-0005-0000-0000-0000B4130000}"/>
    <cellStyle name="Normal 14 2 3 3 9" xfId="9095" xr:uid="{00000000-0005-0000-0000-0000B5130000}"/>
    <cellStyle name="Normal 14 2 3 4" xfId="509" xr:uid="{00000000-0005-0000-0000-0000B6130000}"/>
    <cellStyle name="Normal 14 2 3 4 2" xfId="988" xr:uid="{00000000-0005-0000-0000-0000B7130000}"/>
    <cellStyle name="Normal 14 2 3 4 2 2" xfId="2479" xr:uid="{00000000-0005-0000-0000-0000B8130000}"/>
    <cellStyle name="Normal 14 2 3 4 2 3" xfId="3926" xr:uid="{00000000-0005-0000-0000-0000B9130000}"/>
    <cellStyle name="Normal 14 2 3 4 2 4" xfId="5363" xr:uid="{00000000-0005-0000-0000-0000BA130000}"/>
    <cellStyle name="Normal 14 2 3 4 2 5" xfId="6809" xr:uid="{00000000-0005-0000-0000-0000BB130000}"/>
    <cellStyle name="Normal 14 2 3 4 2 6" xfId="8249" xr:uid="{00000000-0005-0000-0000-0000BC130000}"/>
    <cellStyle name="Normal 14 2 3 4 2 7" xfId="9683" xr:uid="{00000000-0005-0000-0000-0000BD130000}"/>
    <cellStyle name="Normal 14 2 3 4 3" xfId="1540" xr:uid="{00000000-0005-0000-0000-0000BE130000}"/>
    <cellStyle name="Normal 14 2 3 4 3 2" xfId="3013" xr:uid="{00000000-0005-0000-0000-0000BF130000}"/>
    <cellStyle name="Normal 14 2 3 4 3 3" xfId="4450" xr:uid="{00000000-0005-0000-0000-0000C0130000}"/>
    <cellStyle name="Normal 14 2 3 4 3 4" xfId="5887" xr:uid="{00000000-0005-0000-0000-0000C1130000}"/>
    <cellStyle name="Normal 14 2 3 4 3 5" xfId="7333" xr:uid="{00000000-0005-0000-0000-0000C2130000}"/>
    <cellStyle name="Normal 14 2 3 4 3 6" xfId="8774" xr:uid="{00000000-0005-0000-0000-0000C3130000}"/>
    <cellStyle name="Normal 14 2 3 4 3 7" xfId="10207" xr:uid="{00000000-0005-0000-0000-0000C4130000}"/>
    <cellStyle name="Normal 14 2 3 4 4" xfId="2012" xr:uid="{00000000-0005-0000-0000-0000C5130000}"/>
    <cellStyle name="Normal 14 2 3 4 5" xfId="3469" xr:uid="{00000000-0005-0000-0000-0000C6130000}"/>
    <cellStyle name="Normal 14 2 3 4 6" xfId="4906" xr:uid="{00000000-0005-0000-0000-0000C7130000}"/>
    <cellStyle name="Normal 14 2 3 4 7" xfId="6352" xr:uid="{00000000-0005-0000-0000-0000C8130000}"/>
    <cellStyle name="Normal 14 2 3 4 8" xfId="7790" xr:uid="{00000000-0005-0000-0000-0000C9130000}"/>
    <cellStyle name="Normal 14 2 3 4 9" xfId="9227" xr:uid="{00000000-0005-0000-0000-0000CA130000}"/>
    <cellStyle name="Normal 14 2 3 5" xfId="574" xr:uid="{00000000-0005-0000-0000-0000CB130000}"/>
    <cellStyle name="Normal 14 2 3 5 2" xfId="1053" xr:uid="{00000000-0005-0000-0000-0000CC130000}"/>
    <cellStyle name="Normal 14 2 3 5 2 2" xfId="2544" xr:uid="{00000000-0005-0000-0000-0000CD130000}"/>
    <cellStyle name="Normal 14 2 3 5 2 3" xfId="3991" xr:uid="{00000000-0005-0000-0000-0000CE130000}"/>
    <cellStyle name="Normal 14 2 3 5 2 4" xfId="5428" xr:uid="{00000000-0005-0000-0000-0000CF130000}"/>
    <cellStyle name="Normal 14 2 3 5 2 5" xfId="6874" xr:uid="{00000000-0005-0000-0000-0000D0130000}"/>
    <cellStyle name="Normal 14 2 3 5 2 6" xfId="8314" xr:uid="{00000000-0005-0000-0000-0000D1130000}"/>
    <cellStyle name="Normal 14 2 3 5 2 7" xfId="9748" xr:uid="{00000000-0005-0000-0000-0000D2130000}"/>
    <cellStyle name="Normal 14 2 3 5 3" xfId="1605" xr:uid="{00000000-0005-0000-0000-0000D3130000}"/>
    <cellStyle name="Normal 14 2 3 5 3 2" xfId="3078" xr:uid="{00000000-0005-0000-0000-0000D4130000}"/>
    <cellStyle name="Normal 14 2 3 5 3 3" xfId="4515" xr:uid="{00000000-0005-0000-0000-0000D5130000}"/>
    <cellStyle name="Normal 14 2 3 5 3 4" xfId="5952" xr:uid="{00000000-0005-0000-0000-0000D6130000}"/>
    <cellStyle name="Normal 14 2 3 5 3 5" xfId="7398" xr:uid="{00000000-0005-0000-0000-0000D7130000}"/>
    <cellStyle name="Normal 14 2 3 5 3 6" xfId="8839" xr:uid="{00000000-0005-0000-0000-0000D8130000}"/>
    <cellStyle name="Normal 14 2 3 5 3 7" xfId="10272" xr:uid="{00000000-0005-0000-0000-0000D9130000}"/>
    <cellStyle name="Normal 14 2 3 5 4" xfId="2077" xr:uid="{00000000-0005-0000-0000-0000DA130000}"/>
    <cellStyle name="Normal 14 2 3 5 5" xfId="3534" xr:uid="{00000000-0005-0000-0000-0000DB130000}"/>
    <cellStyle name="Normal 14 2 3 5 6" xfId="4971" xr:uid="{00000000-0005-0000-0000-0000DC130000}"/>
    <cellStyle name="Normal 14 2 3 5 7" xfId="6417" xr:uid="{00000000-0005-0000-0000-0000DD130000}"/>
    <cellStyle name="Normal 14 2 3 5 8" xfId="7855" xr:uid="{00000000-0005-0000-0000-0000DE130000}"/>
    <cellStyle name="Normal 14 2 3 5 9" xfId="9291" xr:uid="{00000000-0005-0000-0000-0000DF130000}"/>
    <cellStyle name="Normal 14 2 3 6" xfId="716" xr:uid="{00000000-0005-0000-0000-0000E0130000}"/>
    <cellStyle name="Normal 14 2 3 6 2" xfId="2207" xr:uid="{00000000-0005-0000-0000-0000E1130000}"/>
    <cellStyle name="Normal 14 2 3 6 3" xfId="3664" xr:uid="{00000000-0005-0000-0000-0000E2130000}"/>
    <cellStyle name="Normal 14 2 3 6 4" xfId="5101" xr:uid="{00000000-0005-0000-0000-0000E3130000}"/>
    <cellStyle name="Normal 14 2 3 6 5" xfId="6547" xr:uid="{00000000-0005-0000-0000-0000E4130000}"/>
    <cellStyle name="Normal 14 2 3 6 6" xfId="7986" xr:uid="{00000000-0005-0000-0000-0000E5130000}"/>
    <cellStyle name="Normal 14 2 3 6 7" xfId="9421" xr:uid="{00000000-0005-0000-0000-0000E6130000}"/>
    <cellStyle name="Normal 14 2 3 7" xfId="1207" xr:uid="{00000000-0005-0000-0000-0000E7130000}"/>
    <cellStyle name="Normal 14 2 3 7 2" xfId="2686" xr:uid="{00000000-0005-0000-0000-0000E8130000}"/>
    <cellStyle name="Normal 14 2 3 7 3" xfId="4123" xr:uid="{00000000-0005-0000-0000-0000E9130000}"/>
    <cellStyle name="Normal 14 2 3 7 4" xfId="5560" xr:uid="{00000000-0005-0000-0000-0000EA130000}"/>
    <cellStyle name="Normal 14 2 3 7 5" xfId="7006" xr:uid="{00000000-0005-0000-0000-0000EB130000}"/>
    <cellStyle name="Normal 14 2 3 7 6" xfId="8447" xr:uid="{00000000-0005-0000-0000-0000EC130000}"/>
    <cellStyle name="Normal 14 2 3 7 7" xfId="9880" xr:uid="{00000000-0005-0000-0000-0000ED130000}"/>
    <cellStyle name="Normal 14 2 3 8" xfId="1272" xr:uid="{00000000-0005-0000-0000-0000EE130000}"/>
    <cellStyle name="Normal 14 2 3 8 2" xfId="2751" xr:uid="{00000000-0005-0000-0000-0000EF130000}"/>
    <cellStyle name="Normal 14 2 3 8 3" xfId="4188" xr:uid="{00000000-0005-0000-0000-0000F0130000}"/>
    <cellStyle name="Normal 14 2 3 8 4" xfId="5625" xr:uid="{00000000-0005-0000-0000-0000F1130000}"/>
    <cellStyle name="Normal 14 2 3 8 5" xfId="7071" xr:uid="{00000000-0005-0000-0000-0000F2130000}"/>
    <cellStyle name="Normal 14 2 3 8 6" xfId="8512" xr:uid="{00000000-0005-0000-0000-0000F3130000}"/>
    <cellStyle name="Normal 14 2 3 8 7" xfId="9945" xr:uid="{00000000-0005-0000-0000-0000F4130000}"/>
    <cellStyle name="Normal 14 2 3 9" xfId="1750" xr:uid="{00000000-0005-0000-0000-0000F5130000}"/>
    <cellStyle name="Normal 14 2 4" xfId="269" xr:uid="{00000000-0005-0000-0000-0000F6130000}"/>
    <cellStyle name="Normal 14 2 4 10" xfId="7559" xr:uid="{00000000-0005-0000-0000-0000F7130000}"/>
    <cellStyle name="Normal 14 2 4 11" xfId="8998" xr:uid="{00000000-0005-0000-0000-0000F8130000}"/>
    <cellStyle name="Normal 14 2 4 2" xfId="405" xr:uid="{00000000-0005-0000-0000-0000F9130000}"/>
    <cellStyle name="Normal 14 2 4 2 2" xfId="887" xr:uid="{00000000-0005-0000-0000-0000FA130000}"/>
    <cellStyle name="Normal 14 2 4 2 2 2" xfId="2378" xr:uid="{00000000-0005-0000-0000-0000FB130000}"/>
    <cellStyle name="Normal 14 2 4 2 2 3" xfId="3825" xr:uid="{00000000-0005-0000-0000-0000FC130000}"/>
    <cellStyle name="Normal 14 2 4 2 2 4" xfId="5262" xr:uid="{00000000-0005-0000-0000-0000FD130000}"/>
    <cellStyle name="Normal 14 2 4 2 2 5" xfId="6708" xr:uid="{00000000-0005-0000-0000-0000FE130000}"/>
    <cellStyle name="Normal 14 2 4 2 2 6" xfId="8148" xr:uid="{00000000-0005-0000-0000-0000FF130000}"/>
    <cellStyle name="Normal 14 2 4 2 2 7" xfId="9582" xr:uid="{00000000-0005-0000-0000-000000140000}"/>
    <cellStyle name="Normal 14 2 4 2 3" xfId="1439" xr:uid="{00000000-0005-0000-0000-000001140000}"/>
    <cellStyle name="Normal 14 2 4 2 3 2" xfId="2912" xr:uid="{00000000-0005-0000-0000-000002140000}"/>
    <cellStyle name="Normal 14 2 4 2 3 3" xfId="4349" xr:uid="{00000000-0005-0000-0000-000003140000}"/>
    <cellStyle name="Normal 14 2 4 2 3 4" xfId="5786" xr:uid="{00000000-0005-0000-0000-000004140000}"/>
    <cellStyle name="Normal 14 2 4 2 3 5" xfId="7232" xr:uid="{00000000-0005-0000-0000-000005140000}"/>
    <cellStyle name="Normal 14 2 4 2 3 6" xfId="8673" xr:uid="{00000000-0005-0000-0000-000006140000}"/>
    <cellStyle name="Normal 14 2 4 2 3 7" xfId="10106" xr:uid="{00000000-0005-0000-0000-000007140000}"/>
    <cellStyle name="Normal 14 2 4 2 4" xfId="1911" xr:uid="{00000000-0005-0000-0000-000008140000}"/>
    <cellStyle name="Normal 14 2 4 2 5" xfId="3368" xr:uid="{00000000-0005-0000-0000-000009140000}"/>
    <cellStyle name="Normal 14 2 4 2 6" xfId="4805" xr:uid="{00000000-0005-0000-0000-00000A140000}"/>
    <cellStyle name="Normal 14 2 4 2 7" xfId="6251" xr:uid="{00000000-0005-0000-0000-00000B140000}"/>
    <cellStyle name="Normal 14 2 4 2 8" xfId="7689" xr:uid="{00000000-0005-0000-0000-00000C140000}"/>
    <cellStyle name="Normal 14 2 4 2 9" xfId="9126" xr:uid="{00000000-0005-0000-0000-00000D140000}"/>
    <cellStyle name="Normal 14 2 4 3" xfId="609" xr:uid="{00000000-0005-0000-0000-00000E140000}"/>
    <cellStyle name="Normal 14 2 4 3 2" xfId="1088" xr:uid="{00000000-0005-0000-0000-00000F140000}"/>
    <cellStyle name="Normal 14 2 4 3 2 2" xfId="2579" xr:uid="{00000000-0005-0000-0000-000010140000}"/>
    <cellStyle name="Normal 14 2 4 3 2 3" xfId="4022" xr:uid="{00000000-0005-0000-0000-000011140000}"/>
    <cellStyle name="Normal 14 2 4 3 2 4" xfId="5459" xr:uid="{00000000-0005-0000-0000-000012140000}"/>
    <cellStyle name="Normal 14 2 4 3 2 5" xfId="6905" xr:uid="{00000000-0005-0000-0000-000013140000}"/>
    <cellStyle name="Normal 14 2 4 3 2 6" xfId="8345" xr:uid="{00000000-0005-0000-0000-000014140000}"/>
    <cellStyle name="Normal 14 2 4 3 2 7" xfId="9779" xr:uid="{00000000-0005-0000-0000-000015140000}"/>
    <cellStyle name="Normal 14 2 4 3 3" xfId="1638" xr:uid="{00000000-0005-0000-0000-000016140000}"/>
    <cellStyle name="Normal 14 2 4 3 3 2" xfId="3109" xr:uid="{00000000-0005-0000-0000-000017140000}"/>
    <cellStyle name="Normal 14 2 4 3 3 3" xfId="4546" xr:uid="{00000000-0005-0000-0000-000018140000}"/>
    <cellStyle name="Normal 14 2 4 3 3 4" xfId="5983" xr:uid="{00000000-0005-0000-0000-000019140000}"/>
    <cellStyle name="Normal 14 2 4 3 3 5" xfId="7429" xr:uid="{00000000-0005-0000-0000-00001A140000}"/>
    <cellStyle name="Normal 14 2 4 3 3 6" xfId="8870" xr:uid="{00000000-0005-0000-0000-00001B140000}"/>
    <cellStyle name="Normal 14 2 4 3 3 7" xfId="10303" xr:uid="{00000000-0005-0000-0000-00001C140000}"/>
    <cellStyle name="Normal 14 2 4 3 4" xfId="2108" xr:uid="{00000000-0005-0000-0000-00001D140000}"/>
    <cellStyle name="Normal 14 2 4 3 5" xfId="3565" xr:uid="{00000000-0005-0000-0000-00001E140000}"/>
    <cellStyle name="Normal 14 2 4 3 6" xfId="5002" xr:uid="{00000000-0005-0000-0000-00001F140000}"/>
    <cellStyle name="Normal 14 2 4 3 7" xfId="6448" xr:uid="{00000000-0005-0000-0000-000020140000}"/>
    <cellStyle name="Normal 14 2 4 3 8" xfId="7887" xr:uid="{00000000-0005-0000-0000-000021140000}"/>
    <cellStyle name="Normal 14 2 4 3 9" xfId="9322" xr:uid="{00000000-0005-0000-0000-000022140000}"/>
    <cellStyle name="Normal 14 2 4 4" xfId="751" xr:uid="{00000000-0005-0000-0000-000023140000}"/>
    <cellStyle name="Normal 14 2 4 4 2" xfId="2242" xr:uid="{00000000-0005-0000-0000-000024140000}"/>
    <cellStyle name="Normal 14 2 4 4 3" xfId="3695" xr:uid="{00000000-0005-0000-0000-000025140000}"/>
    <cellStyle name="Normal 14 2 4 4 4" xfId="5132" xr:uid="{00000000-0005-0000-0000-000026140000}"/>
    <cellStyle name="Normal 14 2 4 4 5" xfId="6578" xr:uid="{00000000-0005-0000-0000-000027140000}"/>
    <cellStyle name="Normal 14 2 4 4 6" xfId="8018" xr:uid="{00000000-0005-0000-0000-000028140000}"/>
    <cellStyle name="Normal 14 2 4 4 7" xfId="9452" xr:uid="{00000000-0005-0000-0000-000029140000}"/>
    <cellStyle name="Normal 14 2 4 5" xfId="1307" xr:uid="{00000000-0005-0000-0000-00002A140000}"/>
    <cellStyle name="Normal 14 2 4 5 2" xfId="2782" xr:uid="{00000000-0005-0000-0000-00002B140000}"/>
    <cellStyle name="Normal 14 2 4 5 3" xfId="4219" xr:uid="{00000000-0005-0000-0000-00002C140000}"/>
    <cellStyle name="Normal 14 2 4 5 4" xfId="5656" xr:uid="{00000000-0005-0000-0000-00002D140000}"/>
    <cellStyle name="Normal 14 2 4 5 5" xfId="7102" xr:uid="{00000000-0005-0000-0000-00002E140000}"/>
    <cellStyle name="Normal 14 2 4 5 6" xfId="8543" xr:uid="{00000000-0005-0000-0000-00002F140000}"/>
    <cellStyle name="Normal 14 2 4 5 7" xfId="9976" xr:uid="{00000000-0005-0000-0000-000030140000}"/>
    <cellStyle name="Normal 14 2 4 6" xfId="1781" xr:uid="{00000000-0005-0000-0000-000031140000}"/>
    <cellStyle name="Normal 14 2 4 7" xfId="3238" xr:uid="{00000000-0005-0000-0000-000032140000}"/>
    <cellStyle name="Normal 14 2 4 8" xfId="4675" xr:uid="{00000000-0005-0000-0000-000033140000}"/>
    <cellStyle name="Normal 14 2 4 9" xfId="6121" xr:uid="{00000000-0005-0000-0000-000034140000}"/>
    <cellStyle name="Normal 14 2 5" xfId="336" xr:uid="{00000000-0005-0000-0000-000035140000}"/>
    <cellStyle name="Normal 14 2 5 2" xfId="818" xr:uid="{00000000-0005-0000-0000-000036140000}"/>
    <cellStyle name="Normal 14 2 5 2 2" xfId="2309" xr:uid="{00000000-0005-0000-0000-000037140000}"/>
    <cellStyle name="Normal 14 2 5 2 3" xfId="3760" xr:uid="{00000000-0005-0000-0000-000038140000}"/>
    <cellStyle name="Normal 14 2 5 2 4" xfId="5197" xr:uid="{00000000-0005-0000-0000-000039140000}"/>
    <cellStyle name="Normal 14 2 5 2 5" xfId="6643" xr:uid="{00000000-0005-0000-0000-00003A140000}"/>
    <cellStyle name="Normal 14 2 5 2 6" xfId="8083" xr:uid="{00000000-0005-0000-0000-00003B140000}"/>
    <cellStyle name="Normal 14 2 5 2 7" xfId="9517" xr:uid="{00000000-0005-0000-0000-00003C140000}"/>
    <cellStyle name="Normal 14 2 5 3" xfId="1372" xr:uid="{00000000-0005-0000-0000-00003D140000}"/>
    <cellStyle name="Normal 14 2 5 3 2" xfId="2847" xr:uid="{00000000-0005-0000-0000-00003E140000}"/>
    <cellStyle name="Normal 14 2 5 3 3" xfId="4284" xr:uid="{00000000-0005-0000-0000-00003F140000}"/>
    <cellStyle name="Normal 14 2 5 3 4" xfId="5721" xr:uid="{00000000-0005-0000-0000-000040140000}"/>
    <cellStyle name="Normal 14 2 5 3 5" xfId="7167" xr:uid="{00000000-0005-0000-0000-000041140000}"/>
    <cellStyle name="Normal 14 2 5 3 6" xfId="8608" xr:uid="{00000000-0005-0000-0000-000042140000}"/>
    <cellStyle name="Normal 14 2 5 3 7" xfId="10041" xr:uid="{00000000-0005-0000-0000-000043140000}"/>
    <cellStyle name="Normal 14 2 5 4" xfId="1846" xr:uid="{00000000-0005-0000-0000-000044140000}"/>
    <cellStyle name="Normal 14 2 5 5" xfId="3303" xr:uid="{00000000-0005-0000-0000-000045140000}"/>
    <cellStyle name="Normal 14 2 5 6" xfId="4740" xr:uid="{00000000-0005-0000-0000-000046140000}"/>
    <cellStyle name="Normal 14 2 5 7" xfId="6186" xr:uid="{00000000-0005-0000-0000-000047140000}"/>
    <cellStyle name="Normal 14 2 5 8" xfId="7624" xr:uid="{00000000-0005-0000-0000-000048140000}"/>
    <cellStyle name="Normal 14 2 5 9" xfId="9062" xr:uid="{00000000-0005-0000-0000-000049140000}"/>
    <cellStyle name="Normal 14 2 6" xfId="475" xr:uid="{00000000-0005-0000-0000-00004A140000}"/>
    <cellStyle name="Normal 14 2 6 2" xfId="954" xr:uid="{00000000-0005-0000-0000-00004B140000}"/>
    <cellStyle name="Normal 14 2 6 2 2" xfId="2445" xr:uid="{00000000-0005-0000-0000-00004C140000}"/>
    <cellStyle name="Normal 14 2 6 2 3" xfId="3892" xr:uid="{00000000-0005-0000-0000-00004D140000}"/>
    <cellStyle name="Normal 14 2 6 2 4" xfId="5329" xr:uid="{00000000-0005-0000-0000-00004E140000}"/>
    <cellStyle name="Normal 14 2 6 2 5" xfId="6775" xr:uid="{00000000-0005-0000-0000-00004F140000}"/>
    <cellStyle name="Normal 14 2 6 2 6" xfId="8215" xr:uid="{00000000-0005-0000-0000-000050140000}"/>
    <cellStyle name="Normal 14 2 6 2 7" xfId="9649" xr:uid="{00000000-0005-0000-0000-000051140000}"/>
    <cellStyle name="Normal 14 2 6 3" xfId="1506" xr:uid="{00000000-0005-0000-0000-000052140000}"/>
    <cellStyle name="Normal 14 2 6 3 2" xfId="2979" xr:uid="{00000000-0005-0000-0000-000053140000}"/>
    <cellStyle name="Normal 14 2 6 3 3" xfId="4416" xr:uid="{00000000-0005-0000-0000-000054140000}"/>
    <cellStyle name="Normal 14 2 6 3 4" xfId="5853" xr:uid="{00000000-0005-0000-0000-000055140000}"/>
    <cellStyle name="Normal 14 2 6 3 5" xfId="7299" xr:uid="{00000000-0005-0000-0000-000056140000}"/>
    <cellStyle name="Normal 14 2 6 3 6" xfId="8740" xr:uid="{00000000-0005-0000-0000-000057140000}"/>
    <cellStyle name="Normal 14 2 6 3 7" xfId="10173" xr:uid="{00000000-0005-0000-0000-000058140000}"/>
    <cellStyle name="Normal 14 2 6 4" xfId="1978" xr:uid="{00000000-0005-0000-0000-000059140000}"/>
    <cellStyle name="Normal 14 2 6 5" xfId="3435" xr:uid="{00000000-0005-0000-0000-00005A140000}"/>
    <cellStyle name="Normal 14 2 6 6" xfId="4872" xr:uid="{00000000-0005-0000-0000-00005B140000}"/>
    <cellStyle name="Normal 14 2 6 7" xfId="6318" xr:uid="{00000000-0005-0000-0000-00005C140000}"/>
    <cellStyle name="Normal 14 2 6 8" xfId="7756" xr:uid="{00000000-0005-0000-0000-00005D140000}"/>
    <cellStyle name="Normal 14 2 6 9" xfId="9193" xr:uid="{00000000-0005-0000-0000-00005E140000}"/>
    <cellStyle name="Normal 14 2 7" xfId="540" xr:uid="{00000000-0005-0000-0000-00005F140000}"/>
    <cellStyle name="Normal 14 2 7 2" xfId="1019" xr:uid="{00000000-0005-0000-0000-000060140000}"/>
    <cellStyle name="Normal 14 2 7 2 2" xfId="2510" xr:uid="{00000000-0005-0000-0000-000061140000}"/>
    <cellStyle name="Normal 14 2 7 2 3" xfId="3957" xr:uid="{00000000-0005-0000-0000-000062140000}"/>
    <cellStyle name="Normal 14 2 7 2 4" xfId="5394" xr:uid="{00000000-0005-0000-0000-000063140000}"/>
    <cellStyle name="Normal 14 2 7 2 5" xfId="6840" xr:uid="{00000000-0005-0000-0000-000064140000}"/>
    <cellStyle name="Normal 14 2 7 2 6" xfId="8280" xr:uid="{00000000-0005-0000-0000-000065140000}"/>
    <cellStyle name="Normal 14 2 7 2 7" xfId="9714" xr:uid="{00000000-0005-0000-0000-000066140000}"/>
    <cellStyle name="Normal 14 2 7 3" xfId="1571" xr:uid="{00000000-0005-0000-0000-000067140000}"/>
    <cellStyle name="Normal 14 2 7 3 2" xfId="3044" xr:uid="{00000000-0005-0000-0000-000068140000}"/>
    <cellStyle name="Normal 14 2 7 3 3" xfId="4481" xr:uid="{00000000-0005-0000-0000-000069140000}"/>
    <cellStyle name="Normal 14 2 7 3 4" xfId="5918" xr:uid="{00000000-0005-0000-0000-00006A140000}"/>
    <cellStyle name="Normal 14 2 7 3 5" xfId="7364" xr:uid="{00000000-0005-0000-0000-00006B140000}"/>
    <cellStyle name="Normal 14 2 7 3 6" xfId="8805" xr:uid="{00000000-0005-0000-0000-00006C140000}"/>
    <cellStyle name="Normal 14 2 7 3 7" xfId="10238" xr:uid="{00000000-0005-0000-0000-00006D140000}"/>
    <cellStyle name="Normal 14 2 7 4" xfId="2043" xr:uid="{00000000-0005-0000-0000-00006E140000}"/>
    <cellStyle name="Normal 14 2 7 5" xfId="3500" xr:uid="{00000000-0005-0000-0000-00006F140000}"/>
    <cellStyle name="Normal 14 2 7 6" xfId="4937" xr:uid="{00000000-0005-0000-0000-000070140000}"/>
    <cellStyle name="Normal 14 2 7 7" xfId="6383" xr:uid="{00000000-0005-0000-0000-000071140000}"/>
    <cellStyle name="Normal 14 2 7 8" xfId="7821" xr:uid="{00000000-0005-0000-0000-000072140000}"/>
    <cellStyle name="Normal 14 2 7 9" xfId="9258" xr:uid="{00000000-0005-0000-0000-000073140000}"/>
    <cellStyle name="Normal 14 2 8" xfId="682" xr:uid="{00000000-0005-0000-0000-000074140000}"/>
    <cellStyle name="Normal 14 2 8 2" xfId="2173" xr:uid="{00000000-0005-0000-0000-000075140000}"/>
    <cellStyle name="Normal 14 2 8 3" xfId="3630" xr:uid="{00000000-0005-0000-0000-000076140000}"/>
    <cellStyle name="Normal 14 2 8 4" xfId="5067" xr:uid="{00000000-0005-0000-0000-000077140000}"/>
    <cellStyle name="Normal 14 2 8 5" xfId="6513" xr:uid="{00000000-0005-0000-0000-000078140000}"/>
    <cellStyle name="Normal 14 2 8 6" xfId="7952" xr:uid="{00000000-0005-0000-0000-000079140000}"/>
    <cellStyle name="Normal 14 2 8 7" xfId="9387" xr:uid="{00000000-0005-0000-0000-00007A140000}"/>
    <cellStyle name="Normal 14 2 9" xfId="1173" xr:uid="{00000000-0005-0000-0000-00007B140000}"/>
    <cellStyle name="Normal 14 2 9 2" xfId="2652" xr:uid="{00000000-0005-0000-0000-00007C140000}"/>
    <cellStyle name="Normal 14 2 9 3" xfId="4089" xr:uid="{00000000-0005-0000-0000-00007D140000}"/>
    <cellStyle name="Normal 14 2 9 4" xfId="5526" xr:uid="{00000000-0005-0000-0000-00007E140000}"/>
    <cellStyle name="Normal 14 2 9 5" xfId="6972" xr:uid="{00000000-0005-0000-0000-00007F140000}"/>
    <cellStyle name="Normal 14 2 9 6" xfId="8413" xr:uid="{00000000-0005-0000-0000-000080140000}"/>
    <cellStyle name="Normal 14 2 9 7" xfId="9846" xr:uid="{00000000-0005-0000-0000-000081140000}"/>
    <cellStyle name="Normal 14 3" xfId="156" xr:uid="{00000000-0005-0000-0000-000082140000}"/>
    <cellStyle name="Normal 14 3 10" xfId="1724" xr:uid="{00000000-0005-0000-0000-000083140000}"/>
    <cellStyle name="Normal 14 3 11" xfId="3181" xr:uid="{00000000-0005-0000-0000-000084140000}"/>
    <cellStyle name="Normal 14 3 12" xfId="4618" xr:uid="{00000000-0005-0000-0000-000085140000}"/>
    <cellStyle name="Normal 14 3 13" xfId="6064" xr:uid="{00000000-0005-0000-0000-000086140000}"/>
    <cellStyle name="Normal 14 3 14" xfId="7502" xr:uid="{00000000-0005-0000-0000-000087140000}"/>
    <cellStyle name="Normal 14 3 15" xfId="8942" xr:uid="{00000000-0005-0000-0000-000088140000}"/>
    <cellStyle name="Normal 14 3 2" xfId="239" xr:uid="{00000000-0005-0000-0000-000089140000}"/>
    <cellStyle name="Normal 14 3 2 10" xfId="3213" xr:uid="{00000000-0005-0000-0000-00008A140000}"/>
    <cellStyle name="Normal 14 3 2 11" xfId="4650" xr:uid="{00000000-0005-0000-0000-00008B140000}"/>
    <cellStyle name="Normal 14 3 2 12" xfId="6096" xr:uid="{00000000-0005-0000-0000-00008C140000}"/>
    <cellStyle name="Normal 14 3 2 13" xfId="7534" xr:uid="{00000000-0005-0000-0000-00008D140000}"/>
    <cellStyle name="Normal 14 3 2 14" xfId="8974" xr:uid="{00000000-0005-0000-0000-00008E140000}"/>
    <cellStyle name="Normal 14 3 2 2" xfId="307" xr:uid="{00000000-0005-0000-0000-00008F140000}"/>
    <cellStyle name="Normal 14 3 2 2 10" xfId="7599" xr:uid="{00000000-0005-0000-0000-000090140000}"/>
    <cellStyle name="Normal 14 3 2 2 11" xfId="9038" xr:uid="{00000000-0005-0000-0000-000091140000}"/>
    <cellStyle name="Normal 14 3 2 2 2" xfId="445" xr:uid="{00000000-0005-0000-0000-000092140000}"/>
    <cellStyle name="Normal 14 3 2 2 2 2" xfId="927" xr:uid="{00000000-0005-0000-0000-000093140000}"/>
    <cellStyle name="Normal 14 3 2 2 2 2 2" xfId="2418" xr:uid="{00000000-0005-0000-0000-000094140000}"/>
    <cellStyle name="Normal 14 3 2 2 2 2 3" xfId="3865" xr:uid="{00000000-0005-0000-0000-000095140000}"/>
    <cellStyle name="Normal 14 3 2 2 2 2 4" xfId="5302" xr:uid="{00000000-0005-0000-0000-000096140000}"/>
    <cellStyle name="Normal 14 3 2 2 2 2 5" xfId="6748" xr:uid="{00000000-0005-0000-0000-000097140000}"/>
    <cellStyle name="Normal 14 3 2 2 2 2 6" xfId="8188" xr:uid="{00000000-0005-0000-0000-000098140000}"/>
    <cellStyle name="Normal 14 3 2 2 2 2 7" xfId="9622" xr:uid="{00000000-0005-0000-0000-000099140000}"/>
    <cellStyle name="Normal 14 3 2 2 2 3" xfId="1479" xr:uid="{00000000-0005-0000-0000-00009A140000}"/>
    <cellStyle name="Normal 14 3 2 2 2 3 2" xfId="2952" xr:uid="{00000000-0005-0000-0000-00009B140000}"/>
    <cellStyle name="Normal 14 3 2 2 2 3 3" xfId="4389" xr:uid="{00000000-0005-0000-0000-00009C140000}"/>
    <cellStyle name="Normal 14 3 2 2 2 3 4" xfId="5826" xr:uid="{00000000-0005-0000-0000-00009D140000}"/>
    <cellStyle name="Normal 14 3 2 2 2 3 5" xfId="7272" xr:uid="{00000000-0005-0000-0000-00009E140000}"/>
    <cellStyle name="Normal 14 3 2 2 2 3 6" xfId="8713" xr:uid="{00000000-0005-0000-0000-00009F140000}"/>
    <cellStyle name="Normal 14 3 2 2 2 3 7" xfId="10146" xr:uid="{00000000-0005-0000-0000-0000A0140000}"/>
    <cellStyle name="Normal 14 3 2 2 2 4" xfId="1951" xr:uid="{00000000-0005-0000-0000-0000A1140000}"/>
    <cellStyle name="Normal 14 3 2 2 2 5" xfId="3408" xr:uid="{00000000-0005-0000-0000-0000A2140000}"/>
    <cellStyle name="Normal 14 3 2 2 2 6" xfId="4845" xr:uid="{00000000-0005-0000-0000-0000A3140000}"/>
    <cellStyle name="Normal 14 3 2 2 2 7" xfId="6291" xr:uid="{00000000-0005-0000-0000-0000A4140000}"/>
    <cellStyle name="Normal 14 3 2 2 2 8" xfId="7729" xr:uid="{00000000-0005-0000-0000-0000A5140000}"/>
    <cellStyle name="Normal 14 3 2 2 2 9" xfId="9166" xr:uid="{00000000-0005-0000-0000-0000A6140000}"/>
    <cellStyle name="Normal 14 3 2 2 3" xfId="649" xr:uid="{00000000-0005-0000-0000-0000A7140000}"/>
    <cellStyle name="Normal 14 3 2 2 3 2" xfId="1128" xr:uid="{00000000-0005-0000-0000-0000A8140000}"/>
    <cellStyle name="Normal 14 3 2 2 3 2 2" xfId="2619" xr:uid="{00000000-0005-0000-0000-0000A9140000}"/>
    <cellStyle name="Normal 14 3 2 2 3 2 3" xfId="4062" xr:uid="{00000000-0005-0000-0000-0000AA140000}"/>
    <cellStyle name="Normal 14 3 2 2 3 2 4" xfId="5499" xr:uid="{00000000-0005-0000-0000-0000AB140000}"/>
    <cellStyle name="Normal 14 3 2 2 3 2 5" xfId="6945" xr:uid="{00000000-0005-0000-0000-0000AC140000}"/>
    <cellStyle name="Normal 14 3 2 2 3 2 6" xfId="8385" xr:uid="{00000000-0005-0000-0000-0000AD140000}"/>
    <cellStyle name="Normal 14 3 2 2 3 2 7" xfId="9819" xr:uid="{00000000-0005-0000-0000-0000AE140000}"/>
    <cellStyle name="Normal 14 3 2 2 3 3" xfId="1678" xr:uid="{00000000-0005-0000-0000-0000AF140000}"/>
    <cellStyle name="Normal 14 3 2 2 3 3 2" xfId="3149" xr:uid="{00000000-0005-0000-0000-0000B0140000}"/>
    <cellStyle name="Normal 14 3 2 2 3 3 3" xfId="4586" xr:uid="{00000000-0005-0000-0000-0000B1140000}"/>
    <cellStyle name="Normal 14 3 2 2 3 3 4" xfId="6023" xr:uid="{00000000-0005-0000-0000-0000B2140000}"/>
    <cellStyle name="Normal 14 3 2 2 3 3 5" xfId="7469" xr:uid="{00000000-0005-0000-0000-0000B3140000}"/>
    <cellStyle name="Normal 14 3 2 2 3 3 6" xfId="8910" xr:uid="{00000000-0005-0000-0000-0000B4140000}"/>
    <cellStyle name="Normal 14 3 2 2 3 3 7" xfId="10343" xr:uid="{00000000-0005-0000-0000-0000B5140000}"/>
    <cellStyle name="Normal 14 3 2 2 3 4" xfId="2148" xr:uid="{00000000-0005-0000-0000-0000B6140000}"/>
    <cellStyle name="Normal 14 3 2 2 3 5" xfId="3605" xr:uid="{00000000-0005-0000-0000-0000B7140000}"/>
    <cellStyle name="Normal 14 3 2 2 3 6" xfId="5042" xr:uid="{00000000-0005-0000-0000-0000B8140000}"/>
    <cellStyle name="Normal 14 3 2 2 3 7" xfId="6488" xr:uid="{00000000-0005-0000-0000-0000B9140000}"/>
    <cellStyle name="Normal 14 3 2 2 3 8" xfId="7927" xr:uid="{00000000-0005-0000-0000-0000BA140000}"/>
    <cellStyle name="Normal 14 3 2 2 3 9" xfId="9362" xr:uid="{00000000-0005-0000-0000-0000BB140000}"/>
    <cellStyle name="Normal 14 3 2 2 4" xfId="791" xr:uid="{00000000-0005-0000-0000-0000BC140000}"/>
    <cellStyle name="Normal 14 3 2 2 4 2" xfId="2282" xr:uid="{00000000-0005-0000-0000-0000BD140000}"/>
    <cellStyle name="Normal 14 3 2 2 4 3" xfId="3735" xr:uid="{00000000-0005-0000-0000-0000BE140000}"/>
    <cellStyle name="Normal 14 3 2 2 4 4" xfId="5172" xr:uid="{00000000-0005-0000-0000-0000BF140000}"/>
    <cellStyle name="Normal 14 3 2 2 4 5" xfId="6618" xr:uid="{00000000-0005-0000-0000-0000C0140000}"/>
    <cellStyle name="Normal 14 3 2 2 4 6" xfId="8058" xr:uid="{00000000-0005-0000-0000-0000C1140000}"/>
    <cellStyle name="Normal 14 3 2 2 4 7" xfId="9492" xr:uid="{00000000-0005-0000-0000-0000C2140000}"/>
    <cellStyle name="Normal 14 3 2 2 5" xfId="1347" xr:uid="{00000000-0005-0000-0000-0000C3140000}"/>
    <cellStyle name="Normal 14 3 2 2 5 2" xfId="2822" xr:uid="{00000000-0005-0000-0000-0000C4140000}"/>
    <cellStyle name="Normal 14 3 2 2 5 3" xfId="4259" xr:uid="{00000000-0005-0000-0000-0000C5140000}"/>
    <cellStyle name="Normal 14 3 2 2 5 4" xfId="5696" xr:uid="{00000000-0005-0000-0000-0000C6140000}"/>
    <cellStyle name="Normal 14 3 2 2 5 5" xfId="7142" xr:uid="{00000000-0005-0000-0000-0000C7140000}"/>
    <cellStyle name="Normal 14 3 2 2 5 6" xfId="8583" xr:uid="{00000000-0005-0000-0000-0000C8140000}"/>
    <cellStyle name="Normal 14 3 2 2 5 7" xfId="10016" xr:uid="{00000000-0005-0000-0000-0000C9140000}"/>
    <cellStyle name="Normal 14 3 2 2 6" xfId="1821" xr:uid="{00000000-0005-0000-0000-0000CA140000}"/>
    <cellStyle name="Normal 14 3 2 2 7" xfId="3278" xr:uid="{00000000-0005-0000-0000-0000CB140000}"/>
    <cellStyle name="Normal 14 3 2 2 8" xfId="4715" xr:uid="{00000000-0005-0000-0000-0000CC140000}"/>
    <cellStyle name="Normal 14 3 2 2 9" xfId="6161" xr:uid="{00000000-0005-0000-0000-0000CD140000}"/>
    <cellStyle name="Normal 14 3 2 3" xfId="376" xr:uid="{00000000-0005-0000-0000-0000CE140000}"/>
    <cellStyle name="Normal 14 3 2 3 2" xfId="858" xr:uid="{00000000-0005-0000-0000-0000CF140000}"/>
    <cellStyle name="Normal 14 3 2 3 2 2" xfId="2349" xr:uid="{00000000-0005-0000-0000-0000D0140000}"/>
    <cellStyle name="Normal 14 3 2 3 2 3" xfId="3800" xr:uid="{00000000-0005-0000-0000-0000D1140000}"/>
    <cellStyle name="Normal 14 3 2 3 2 4" xfId="5237" xr:uid="{00000000-0005-0000-0000-0000D2140000}"/>
    <cellStyle name="Normal 14 3 2 3 2 5" xfId="6683" xr:uid="{00000000-0005-0000-0000-0000D3140000}"/>
    <cellStyle name="Normal 14 3 2 3 2 6" xfId="8123" xr:uid="{00000000-0005-0000-0000-0000D4140000}"/>
    <cellStyle name="Normal 14 3 2 3 2 7" xfId="9557" xr:uid="{00000000-0005-0000-0000-0000D5140000}"/>
    <cellStyle name="Normal 14 3 2 3 3" xfId="1412" xr:uid="{00000000-0005-0000-0000-0000D6140000}"/>
    <cellStyle name="Normal 14 3 2 3 3 2" xfId="2887" xr:uid="{00000000-0005-0000-0000-0000D7140000}"/>
    <cellStyle name="Normal 14 3 2 3 3 3" xfId="4324" xr:uid="{00000000-0005-0000-0000-0000D8140000}"/>
    <cellStyle name="Normal 14 3 2 3 3 4" xfId="5761" xr:uid="{00000000-0005-0000-0000-0000D9140000}"/>
    <cellStyle name="Normal 14 3 2 3 3 5" xfId="7207" xr:uid="{00000000-0005-0000-0000-0000DA140000}"/>
    <cellStyle name="Normal 14 3 2 3 3 6" xfId="8648" xr:uid="{00000000-0005-0000-0000-0000DB140000}"/>
    <cellStyle name="Normal 14 3 2 3 3 7" xfId="10081" xr:uid="{00000000-0005-0000-0000-0000DC140000}"/>
    <cellStyle name="Normal 14 3 2 3 4" xfId="1886" xr:uid="{00000000-0005-0000-0000-0000DD140000}"/>
    <cellStyle name="Normal 14 3 2 3 5" xfId="3343" xr:uid="{00000000-0005-0000-0000-0000DE140000}"/>
    <cellStyle name="Normal 14 3 2 3 6" xfId="4780" xr:uid="{00000000-0005-0000-0000-0000DF140000}"/>
    <cellStyle name="Normal 14 3 2 3 7" xfId="6226" xr:uid="{00000000-0005-0000-0000-0000E0140000}"/>
    <cellStyle name="Normal 14 3 2 3 8" xfId="7664" xr:uid="{00000000-0005-0000-0000-0000E1140000}"/>
    <cellStyle name="Normal 14 3 2 3 9" xfId="9101" xr:uid="{00000000-0005-0000-0000-0000E2140000}"/>
    <cellStyle name="Normal 14 3 2 4" xfId="515" xr:uid="{00000000-0005-0000-0000-0000E3140000}"/>
    <cellStyle name="Normal 14 3 2 4 2" xfId="994" xr:uid="{00000000-0005-0000-0000-0000E4140000}"/>
    <cellStyle name="Normal 14 3 2 4 2 2" xfId="2485" xr:uid="{00000000-0005-0000-0000-0000E5140000}"/>
    <cellStyle name="Normal 14 3 2 4 2 3" xfId="3932" xr:uid="{00000000-0005-0000-0000-0000E6140000}"/>
    <cellStyle name="Normal 14 3 2 4 2 4" xfId="5369" xr:uid="{00000000-0005-0000-0000-0000E7140000}"/>
    <cellStyle name="Normal 14 3 2 4 2 5" xfId="6815" xr:uid="{00000000-0005-0000-0000-0000E8140000}"/>
    <cellStyle name="Normal 14 3 2 4 2 6" xfId="8255" xr:uid="{00000000-0005-0000-0000-0000E9140000}"/>
    <cellStyle name="Normal 14 3 2 4 2 7" xfId="9689" xr:uid="{00000000-0005-0000-0000-0000EA140000}"/>
    <cellStyle name="Normal 14 3 2 4 3" xfId="1546" xr:uid="{00000000-0005-0000-0000-0000EB140000}"/>
    <cellStyle name="Normal 14 3 2 4 3 2" xfId="3019" xr:uid="{00000000-0005-0000-0000-0000EC140000}"/>
    <cellStyle name="Normal 14 3 2 4 3 3" xfId="4456" xr:uid="{00000000-0005-0000-0000-0000ED140000}"/>
    <cellStyle name="Normal 14 3 2 4 3 4" xfId="5893" xr:uid="{00000000-0005-0000-0000-0000EE140000}"/>
    <cellStyle name="Normal 14 3 2 4 3 5" xfId="7339" xr:uid="{00000000-0005-0000-0000-0000EF140000}"/>
    <cellStyle name="Normal 14 3 2 4 3 6" xfId="8780" xr:uid="{00000000-0005-0000-0000-0000F0140000}"/>
    <cellStyle name="Normal 14 3 2 4 3 7" xfId="10213" xr:uid="{00000000-0005-0000-0000-0000F1140000}"/>
    <cellStyle name="Normal 14 3 2 4 4" xfId="2018" xr:uid="{00000000-0005-0000-0000-0000F2140000}"/>
    <cellStyle name="Normal 14 3 2 4 5" xfId="3475" xr:uid="{00000000-0005-0000-0000-0000F3140000}"/>
    <cellStyle name="Normal 14 3 2 4 6" xfId="4912" xr:uid="{00000000-0005-0000-0000-0000F4140000}"/>
    <cellStyle name="Normal 14 3 2 4 7" xfId="6358" xr:uid="{00000000-0005-0000-0000-0000F5140000}"/>
    <cellStyle name="Normal 14 3 2 4 8" xfId="7796" xr:uid="{00000000-0005-0000-0000-0000F6140000}"/>
    <cellStyle name="Normal 14 3 2 4 9" xfId="9233" xr:uid="{00000000-0005-0000-0000-0000F7140000}"/>
    <cellStyle name="Normal 14 3 2 5" xfId="580" xr:uid="{00000000-0005-0000-0000-0000F8140000}"/>
    <cellStyle name="Normal 14 3 2 5 2" xfId="1059" xr:uid="{00000000-0005-0000-0000-0000F9140000}"/>
    <cellStyle name="Normal 14 3 2 5 2 2" xfId="2550" xr:uid="{00000000-0005-0000-0000-0000FA140000}"/>
    <cellStyle name="Normal 14 3 2 5 2 3" xfId="3997" xr:uid="{00000000-0005-0000-0000-0000FB140000}"/>
    <cellStyle name="Normal 14 3 2 5 2 4" xfId="5434" xr:uid="{00000000-0005-0000-0000-0000FC140000}"/>
    <cellStyle name="Normal 14 3 2 5 2 5" xfId="6880" xr:uid="{00000000-0005-0000-0000-0000FD140000}"/>
    <cellStyle name="Normal 14 3 2 5 2 6" xfId="8320" xr:uid="{00000000-0005-0000-0000-0000FE140000}"/>
    <cellStyle name="Normal 14 3 2 5 2 7" xfId="9754" xr:uid="{00000000-0005-0000-0000-0000FF140000}"/>
    <cellStyle name="Normal 14 3 2 5 3" xfId="1611" xr:uid="{00000000-0005-0000-0000-000000150000}"/>
    <cellStyle name="Normal 14 3 2 5 3 2" xfId="3084" xr:uid="{00000000-0005-0000-0000-000001150000}"/>
    <cellStyle name="Normal 14 3 2 5 3 3" xfId="4521" xr:uid="{00000000-0005-0000-0000-000002150000}"/>
    <cellStyle name="Normal 14 3 2 5 3 4" xfId="5958" xr:uid="{00000000-0005-0000-0000-000003150000}"/>
    <cellStyle name="Normal 14 3 2 5 3 5" xfId="7404" xr:uid="{00000000-0005-0000-0000-000004150000}"/>
    <cellStyle name="Normal 14 3 2 5 3 6" xfId="8845" xr:uid="{00000000-0005-0000-0000-000005150000}"/>
    <cellStyle name="Normal 14 3 2 5 3 7" xfId="10278" xr:uid="{00000000-0005-0000-0000-000006150000}"/>
    <cellStyle name="Normal 14 3 2 5 4" xfId="2083" xr:uid="{00000000-0005-0000-0000-000007150000}"/>
    <cellStyle name="Normal 14 3 2 5 5" xfId="3540" xr:uid="{00000000-0005-0000-0000-000008150000}"/>
    <cellStyle name="Normal 14 3 2 5 6" xfId="4977" xr:uid="{00000000-0005-0000-0000-000009150000}"/>
    <cellStyle name="Normal 14 3 2 5 7" xfId="6423" xr:uid="{00000000-0005-0000-0000-00000A150000}"/>
    <cellStyle name="Normal 14 3 2 5 8" xfId="7861" xr:uid="{00000000-0005-0000-0000-00000B150000}"/>
    <cellStyle name="Normal 14 3 2 5 9" xfId="9297" xr:uid="{00000000-0005-0000-0000-00000C150000}"/>
    <cellStyle name="Normal 14 3 2 6" xfId="722" xr:uid="{00000000-0005-0000-0000-00000D150000}"/>
    <cellStyle name="Normal 14 3 2 6 2" xfId="2213" xr:uid="{00000000-0005-0000-0000-00000E150000}"/>
    <cellStyle name="Normal 14 3 2 6 3" xfId="3670" xr:uid="{00000000-0005-0000-0000-00000F150000}"/>
    <cellStyle name="Normal 14 3 2 6 4" xfId="5107" xr:uid="{00000000-0005-0000-0000-000010150000}"/>
    <cellStyle name="Normal 14 3 2 6 5" xfId="6553" xr:uid="{00000000-0005-0000-0000-000011150000}"/>
    <cellStyle name="Normal 14 3 2 6 6" xfId="7992" xr:uid="{00000000-0005-0000-0000-000012150000}"/>
    <cellStyle name="Normal 14 3 2 6 7" xfId="9427" xr:uid="{00000000-0005-0000-0000-000013150000}"/>
    <cellStyle name="Normal 14 3 2 7" xfId="1213" xr:uid="{00000000-0005-0000-0000-000014150000}"/>
    <cellStyle name="Normal 14 3 2 7 2" xfId="2692" xr:uid="{00000000-0005-0000-0000-000015150000}"/>
    <cellStyle name="Normal 14 3 2 7 3" xfId="4129" xr:uid="{00000000-0005-0000-0000-000016150000}"/>
    <cellStyle name="Normal 14 3 2 7 4" xfId="5566" xr:uid="{00000000-0005-0000-0000-000017150000}"/>
    <cellStyle name="Normal 14 3 2 7 5" xfId="7012" xr:uid="{00000000-0005-0000-0000-000018150000}"/>
    <cellStyle name="Normal 14 3 2 7 6" xfId="8453" xr:uid="{00000000-0005-0000-0000-000019150000}"/>
    <cellStyle name="Normal 14 3 2 7 7" xfId="9886" xr:uid="{00000000-0005-0000-0000-00001A150000}"/>
    <cellStyle name="Normal 14 3 2 8" xfId="1278" xr:uid="{00000000-0005-0000-0000-00001B150000}"/>
    <cellStyle name="Normal 14 3 2 8 2" xfId="2757" xr:uid="{00000000-0005-0000-0000-00001C150000}"/>
    <cellStyle name="Normal 14 3 2 8 3" xfId="4194" xr:uid="{00000000-0005-0000-0000-00001D150000}"/>
    <cellStyle name="Normal 14 3 2 8 4" xfId="5631" xr:uid="{00000000-0005-0000-0000-00001E150000}"/>
    <cellStyle name="Normal 14 3 2 8 5" xfId="7077" xr:uid="{00000000-0005-0000-0000-00001F150000}"/>
    <cellStyle name="Normal 14 3 2 8 6" xfId="8518" xr:uid="{00000000-0005-0000-0000-000020150000}"/>
    <cellStyle name="Normal 14 3 2 8 7" xfId="9951" xr:uid="{00000000-0005-0000-0000-000021150000}"/>
    <cellStyle name="Normal 14 3 2 9" xfId="1756" xr:uid="{00000000-0005-0000-0000-000022150000}"/>
    <cellStyle name="Normal 14 3 3" xfId="275" xr:uid="{00000000-0005-0000-0000-000023150000}"/>
    <cellStyle name="Normal 14 3 3 10" xfId="7567" xr:uid="{00000000-0005-0000-0000-000024150000}"/>
    <cellStyle name="Normal 14 3 3 11" xfId="9006" xr:uid="{00000000-0005-0000-0000-000025150000}"/>
    <cellStyle name="Normal 14 3 3 2" xfId="413" xr:uid="{00000000-0005-0000-0000-000026150000}"/>
    <cellStyle name="Normal 14 3 3 2 2" xfId="895" xr:uid="{00000000-0005-0000-0000-000027150000}"/>
    <cellStyle name="Normal 14 3 3 2 2 2" xfId="2386" xr:uid="{00000000-0005-0000-0000-000028150000}"/>
    <cellStyle name="Normal 14 3 3 2 2 3" xfId="3833" xr:uid="{00000000-0005-0000-0000-000029150000}"/>
    <cellStyle name="Normal 14 3 3 2 2 4" xfId="5270" xr:uid="{00000000-0005-0000-0000-00002A150000}"/>
    <cellStyle name="Normal 14 3 3 2 2 5" xfId="6716" xr:uid="{00000000-0005-0000-0000-00002B150000}"/>
    <cellStyle name="Normal 14 3 3 2 2 6" xfId="8156" xr:uid="{00000000-0005-0000-0000-00002C150000}"/>
    <cellStyle name="Normal 14 3 3 2 2 7" xfId="9590" xr:uid="{00000000-0005-0000-0000-00002D150000}"/>
    <cellStyle name="Normal 14 3 3 2 3" xfId="1447" xr:uid="{00000000-0005-0000-0000-00002E150000}"/>
    <cellStyle name="Normal 14 3 3 2 3 2" xfId="2920" xr:uid="{00000000-0005-0000-0000-00002F150000}"/>
    <cellStyle name="Normal 14 3 3 2 3 3" xfId="4357" xr:uid="{00000000-0005-0000-0000-000030150000}"/>
    <cellStyle name="Normal 14 3 3 2 3 4" xfId="5794" xr:uid="{00000000-0005-0000-0000-000031150000}"/>
    <cellStyle name="Normal 14 3 3 2 3 5" xfId="7240" xr:uid="{00000000-0005-0000-0000-000032150000}"/>
    <cellStyle name="Normal 14 3 3 2 3 6" xfId="8681" xr:uid="{00000000-0005-0000-0000-000033150000}"/>
    <cellStyle name="Normal 14 3 3 2 3 7" xfId="10114" xr:uid="{00000000-0005-0000-0000-000034150000}"/>
    <cellStyle name="Normal 14 3 3 2 4" xfId="1919" xr:uid="{00000000-0005-0000-0000-000035150000}"/>
    <cellStyle name="Normal 14 3 3 2 5" xfId="3376" xr:uid="{00000000-0005-0000-0000-000036150000}"/>
    <cellStyle name="Normal 14 3 3 2 6" xfId="4813" xr:uid="{00000000-0005-0000-0000-000037150000}"/>
    <cellStyle name="Normal 14 3 3 2 7" xfId="6259" xr:uid="{00000000-0005-0000-0000-000038150000}"/>
    <cellStyle name="Normal 14 3 3 2 8" xfId="7697" xr:uid="{00000000-0005-0000-0000-000039150000}"/>
    <cellStyle name="Normal 14 3 3 2 9" xfId="9134" xr:uid="{00000000-0005-0000-0000-00003A150000}"/>
    <cellStyle name="Normal 14 3 3 3" xfId="617" xr:uid="{00000000-0005-0000-0000-00003B150000}"/>
    <cellStyle name="Normal 14 3 3 3 2" xfId="1096" xr:uid="{00000000-0005-0000-0000-00003C150000}"/>
    <cellStyle name="Normal 14 3 3 3 2 2" xfId="2587" xr:uid="{00000000-0005-0000-0000-00003D150000}"/>
    <cellStyle name="Normal 14 3 3 3 2 3" xfId="4030" xr:uid="{00000000-0005-0000-0000-00003E150000}"/>
    <cellStyle name="Normal 14 3 3 3 2 4" xfId="5467" xr:uid="{00000000-0005-0000-0000-00003F150000}"/>
    <cellStyle name="Normal 14 3 3 3 2 5" xfId="6913" xr:uid="{00000000-0005-0000-0000-000040150000}"/>
    <cellStyle name="Normal 14 3 3 3 2 6" xfId="8353" xr:uid="{00000000-0005-0000-0000-000041150000}"/>
    <cellStyle name="Normal 14 3 3 3 2 7" xfId="9787" xr:uid="{00000000-0005-0000-0000-000042150000}"/>
    <cellStyle name="Normal 14 3 3 3 3" xfId="1646" xr:uid="{00000000-0005-0000-0000-000043150000}"/>
    <cellStyle name="Normal 14 3 3 3 3 2" xfId="3117" xr:uid="{00000000-0005-0000-0000-000044150000}"/>
    <cellStyle name="Normal 14 3 3 3 3 3" xfId="4554" xr:uid="{00000000-0005-0000-0000-000045150000}"/>
    <cellStyle name="Normal 14 3 3 3 3 4" xfId="5991" xr:uid="{00000000-0005-0000-0000-000046150000}"/>
    <cellStyle name="Normal 14 3 3 3 3 5" xfId="7437" xr:uid="{00000000-0005-0000-0000-000047150000}"/>
    <cellStyle name="Normal 14 3 3 3 3 6" xfId="8878" xr:uid="{00000000-0005-0000-0000-000048150000}"/>
    <cellStyle name="Normal 14 3 3 3 3 7" xfId="10311" xr:uid="{00000000-0005-0000-0000-000049150000}"/>
    <cellStyle name="Normal 14 3 3 3 4" xfId="2116" xr:uid="{00000000-0005-0000-0000-00004A150000}"/>
    <cellStyle name="Normal 14 3 3 3 5" xfId="3573" xr:uid="{00000000-0005-0000-0000-00004B150000}"/>
    <cellStyle name="Normal 14 3 3 3 6" xfId="5010" xr:uid="{00000000-0005-0000-0000-00004C150000}"/>
    <cellStyle name="Normal 14 3 3 3 7" xfId="6456" xr:uid="{00000000-0005-0000-0000-00004D150000}"/>
    <cellStyle name="Normal 14 3 3 3 8" xfId="7895" xr:uid="{00000000-0005-0000-0000-00004E150000}"/>
    <cellStyle name="Normal 14 3 3 3 9" xfId="9330" xr:uid="{00000000-0005-0000-0000-00004F150000}"/>
    <cellStyle name="Normal 14 3 3 4" xfId="759" xr:uid="{00000000-0005-0000-0000-000050150000}"/>
    <cellStyle name="Normal 14 3 3 4 2" xfId="2250" xr:uid="{00000000-0005-0000-0000-000051150000}"/>
    <cellStyle name="Normal 14 3 3 4 3" xfId="3703" xr:uid="{00000000-0005-0000-0000-000052150000}"/>
    <cellStyle name="Normal 14 3 3 4 4" xfId="5140" xr:uid="{00000000-0005-0000-0000-000053150000}"/>
    <cellStyle name="Normal 14 3 3 4 5" xfId="6586" xr:uid="{00000000-0005-0000-0000-000054150000}"/>
    <cellStyle name="Normal 14 3 3 4 6" xfId="8026" xr:uid="{00000000-0005-0000-0000-000055150000}"/>
    <cellStyle name="Normal 14 3 3 4 7" xfId="9460" xr:uid="{00000000-0005-0000-0000-000056150000}"/>
    <cellStyle name="Normal 14 3 3 5" xfId="1315" xr:uid="{00000000-0005-0000-0000-000057150000}"/>
    <cellStyle name="Normal 14 3 3 5 2" xfId="2790" xr:uid="{00000000-0005-0000-0000-000058150000}"/>
    <cellStyle name="Normal 14 3 3 5 3" xfId="4227" xr:uid="{00000000-0005-0000-0000-000059150000}"/>
    <cellStyle name="Normal 14 3 3 5 4" xfId="5664" xr:uid="{00000000-0005-0000-0000-00005A150000}"/>
    <cellStyle name="Normal 14 3 3 5 5" xfId="7110" xr:uid="{00000000-0005-0000-0000-00005B150000}"/>
    <cellStyle name="Normal 14 3 3 5 6" xfId="8551" xr:uid="{00000000-0005-0000-0000-00005C150000}"/>
    <cellStyle name="Normal 14 3 3 5 7" xfId="9984" xr:uid="{00000000-0005-0000-0000-00005D150000}"/>
    <cellStyle name="Normal 14 3 3 6" xfId="1789" xr:uid="{00000000-0005-0000-0000-00005E150000}"/>
    <cellStyle name="Normal 14 3 3 7" xfId="3246" xr:uid="{00000000-0005-0000-0000-00005F150000}"/>
    <cellStyle name="Normal 14 3 3 8" xfId="4683" xr:uid="{00000000-0005-0000-0000-000060150000}"/>
    <cellStyle name="Normal 14 3 3 9" xfId="6129" xr:uid="{00000000-0005-0000-0000-000061150000}"/>
    <cellStyle name="Normal 14 3 4" xfId="344" xr:uid="{00000000-0005-0000-0000-000062150000}"/>
    <cellStyle name="Normal 14 3 4 2" xfId="826" xr:uid="{00000000-0005-0000-0000-000063150000}"/>
    <cellStyle name="Normal 14 3 4 2 2" xfId="2317" xr:uid="{00000000-0005-0000-0000-000064150000}"/>
    <cellStyle name="Normal 14 3 4 2 3" xfId="3768" xr:uid="{00000000-0005-0000-0000-000065150000}"/>
    <cellStyle name="Normal 14 3 4 2 4" xfId="5205" xr:uid="{00000000-0005-0000-0000-000066150000}"/>
    <cellStyle name="Normal 14 3 4 2 5" xfId="6651" xr:uid="{00000000-0005-0000-0000-000067150000}"/>
    <cellStyle name="Normal 14 3 4 2 6" xfId="8091" xr:uid="{00000000-0005-0000-0000-000068150000}"/>
    <cellStyle name="Normal 14 3 4 2 7" xfId="9525" xr:uid="{00000000-0005-0000-0000-000069150000}"/>
    <cellStyle name="Normal 14 3 4 3" xfId="1380" xr:uid="{00000000-0005-0000-0000-00006A150000}"/>
    <cellStyle name="Normal 14 3 4 3 2" xfId="2855" xr:uid="{00000000-0005-0000-0000-00006B150000}"/>
    <cellStyle name="Normal 14 3 4 3 3" xfId="4292" xr:uid="{00000000-0005-0000-0000-00006C150000}"/>
    <cellStyle name="Normal 14 3 4 3 4" xfId="5729" xr:uid="{00000000-0005-0000-0000-00006D150000}"/>
    <cellStyle name="Normal 14 3 4 3 5" xfId="7175" xr:uid="{00000000-0005-0000-0000-00006E150000}"/>
    <cellStyle name="Normal 14 3 4 3 6" xfId="8616" xr:uid="{00000000-0005-0000-0000-00006F150000}"/>
    <cellStyle name="Normal 14 3 4 3 7" xfId="10049" xr:uid="{00000000-0005-0000-0000-000070150000}"/>
    <cellStyle name="Normal 14 3 4 4" xfId="1854" xr:uid="{00000000-0005-0000-0000-000071150000}"/>
    <cellStyle name="Normal 14 3 4 5" xfId="3311" xr:uid="{00000000-0005-0000-0000-000072150000}"/>
    <cellStyle name="Normal 14 3 4 6" xfId="4748" xr:uid="{00000000-0005-0000-0000-000073150000}"/>
    <cellStyle name="Normal 14 3 4 7" xfId="6194" xr:uid="{00000000-0005-0000-0000-000074150000}"/>
    <cellStyle name="Normal 14 3 4 8" xfId="7632" xr:uid="{00000000-0005-0000-0000-000075150000}"/>
    <cellStyle name="Normal 14 3 4 9" xfId="9069" xr:uid="{00000000-0005-0000-0000-000076150000}"/>
    <cellStyle name="Normal 14 3 5" xfId="483" xr:uid="{00000000-0005-0000-0000-000077150000}"/>
    <cellStyle name="Normal 14 3 5 2" xfId="962" xr:uid="{00000000-0005-0000-0000-000078150000}"/>
    <cellStyle name="Normal 14 3 5 2 2" xfId="2453" xr:uid="{00000000-0005-0000-0000-000079150000}"/>
    <cellStyle name="Normal 14 3 5 2 3" xfId="3900" xr:uid="{00000000-0005-0000-0000-00007A150000}"/>
    <cellStyle name="Normal 14 3 5 2 4" xfId="5337" xr:uid="{00000000-0005-0000-0000-00007B150000}"/>
    <cellStyle name="Normal 14 3 5 2 5" xfId="6783" xr:uid="{00000000-0005-0000-0000-00007C150000}"/>
    <cellStyle name="Normal 14 3 5 2 6" xfId="8223" xr:uid="{00000000-0005-0000-0000-00007D150000}"/>
    <cellStyle name="Normal 14 3 5 2 7" xfId="9657" xr:uid="{00000000-0005-0000-0000-00007E150000}"/>
    <cellStyle name="Normal 14 3 5 3" xfId="1514" xr:uid="{00000000-0005-0000-0000-00007F150000}"/>
    <cellStyle name="Normal 14 3 5 3 2" xfId="2987" xr:uid="{00000000-0005-0000-0000-000080150000}"/>
    <cellStyle name="Normal 14 3 5 3 3" xfId="4424" xr:uid="{00000000-0005-0000-0000-000081150000}"/>
    <cellStyle name="Normal 14 3 5 3 4" xfId="5861" xr:uid="{00000000-0005-0000-0000-000082150000}"/>
    <cellStyle name="Normal 14 3 5 3 5" xfId="7307" xr:uid="{00000000-0005-0000-0000-000083150000}"/>
    <cellStyle name="Normal 14 3 5 3 6" xfId="8748" xr:uid="{00000000-0005-0000-0000-000084150000}"/>
    <cellStyle name="Normal 14 3 5 3 7" xfId="10181" xr:uid="{00000000-0005-0000-0000-000085150000}"/>
    <cellStyle name="Normal 14 3 5 4" xfId="1986" xr:uid="{00000000-0005-0000-0000-000086150000}"/>
    <cellStyle name="Normal 14 3 5 5" xfId="3443" xr:uid="{00000000-0005-0000-0000-000087150000}"/>
    <cellStyle name="Normal 14 3 5 6" xfId="4880" xr:uid="{00000000-0005-0000-0000-000088150000}"/>
    <cellStyle name="Normal 14 3 5 7" xfId="6326" xr:uid="{00000000-0005-0000-0000-000089150000}"/>
    <cellStyle name="Normal 14 3 5 8" xfId="7764" xr:uid="{00000000-0005-0000-0000-00008A150000}"/>
    <cellStyle name="Normal 14 3 5 9" xfId="9201" xr:uid="{00000000-0005-0000-0000-00008B150000}"/>
    <cellStyle name="Normal 14 3 6" xfId="548" xr:uid="{00000000-0005-0000-0000-00008C150000}"/>
    <cellStyle name="Normal 14 3 6 2" xfId="1027" xr:uid="{00000000-0005-0000-0000-00008D150000}"/>
    <cellStyle name="Normal 14 3 6 2 2" xfId="2518" xr:uid="{00000000-0005-0000-0000-00008E150000}"/>
    <cellStyle name="Normal 14 3 6 2 3" xfId="3965" xr:uid="{00000000-0005-0000-0000-00008F150000}"/>
    <cellStyle name="Normal 14 3 6 2 4" xfId="5402" xr:uid="{00000000-0005-0000-0000-000090150000}"/>
    <cellStyle name="Normal 14 3 6 2 5" xfId="6848" xr:uid="{00000000-0005-0000-0000-000091150000}"/>
    <cellStyle name="Normal 14 3 6 2 6" xfId="8288" xr:uid="{00000000-0005-0000-0000-000092150000}"/>
    <cellStyle name="Normal 14 3 6 2 7" xfId="9722" xr:uid="{00000000-0005-0000-0000-000093150000}"/>
    <cellStyle name="Normal 14 3 6 3" xfId="1579" xr:uid="{00000000-0005-0000-0000-000094150000}"/>
    <cellStyle name="Normal 14 3 6 3 2" xfId="3052" xr:uid="{00000000-0005-0000-0000-000095150000}"/>
    <cellStyle name="Normal 14 3 6 3 3" xfId="4489" xr:uid="{00000000-0005-0000-0000-000096150000}"/>
    <cellStyle name="Normal 14 3 6 3 4" xfId="5926" xr:uid="{00000000-0005-0000-0000-000097150000}"/>
    <cellStyle name="Normal 14 3 6 3 5" xfId="7372" xr:uid="{00000000-0005-0000-0000-000098150000}"/>
    <cellStyle name="Normal 14 3 6 3 6" xfId="8813" xr:uid="{00000000-0005-0000-0000-000099150000}"/>
    <cellStyle name="Normal 14 3 6 3 7" xfId="10246" xr:uid="{00000000-0005-0000-0000-00009A150000}"/>
    <cellStyle name="Normal 14 3 6 4" xfId="2051" xr:uid="{00000000-0005-0000-0000-00009B150000}"/>
    <cellStyle name="Normal 14 3 6 5" xfId="3508" xr:uid="{00000000-0005-0000-0000-00009C150000}"/>
    <cellStyle name="Normal 14 3 6 6" xfId="4945" xr:uid="{00000000-0005-0000-0000-00009D150000}"/>
    <cellStyle name="Normal 14 3 6 7" xfId="6391" xr:uid="{00000000-0005-0000-0000-00009E150000}"/>
    <cellStyle name="Normal 14 3 6 8" xfId="7829" xr:uid="{00000000-0005-0000-0000-00009F150000}"/>
    <cellStyle name="Normal 14 3 6 9" xfId="9265" xr:uid="{00000000-0005-0000-0000-0000A0150000}"/>
    <cellStyle name="Normal 14 3 7" xfId="690" xr:uid="{00000000-0005-0000-0000-0000A1150000}"/>
    <cellStyle name="Normal 14 3 7 2" xfId="2181" xr:uid="{00000000-0005-0000-0000-0000A2150000}"/>
    <cellStyle name="Normal 14 3 7 3" xfId="3638" xr:uid="{00000000-0005-0000-0000-0000A3150000}"/>
    <cellStyle name="Normal 14 3 7 4" xfId="5075" xr:uid="{00000000-0005-0000-0000-0000A4150000}"/>
    <cellStyle name="Normal 14 3 7 5" xfId="6521" xr:uid="{00000000-0005-0000-0000-0000A5150000}"/>
    <cellStyle name="Normal 14 3 7 6" xfId="7960" xr:uid="{00000000-0005-0000-0000-0000A6150000}"/>
    <cellStyle name="Normal 14 3 7 7" xfId="9395" xr:uid="{00000000-0005-0000-0000-0000A7150000}"/>
    <cellStyle name="Normal 14 3 8" xfId="1181" xr:uid="{00000000-0005-0000-0000-0000A8150000}"/>
    <cellStyle name="Normal 14 3 8 2" xfId="2660" xr:uid="{00000000-0005-0000-0000-0000A9150000}"/>
    <cellStyle name="Normal 14 3 8 3" xfId="4097" xr:uid="{00000000-0005-0000-0000-0000AA150000}"/>
    <cellStyle name="Normal 14 3 8 4" xfId="5534" xr:uid="{00000000-0005-0000-0000-0000AB150000}"/>
    <cellStyle name="Normal 14 3 8 5" xfId="6980" xr:uid="{00000000-0005-0000-0000-0000AC150000}"/>
    <cellStyle name="Normal 14 3 8 6" xfId="8421" xr:uid="{00000000-0005-0000-0000-0000AD150000}"/>
    <cellStyle name="Normal 14 3 8 7" xfId="9854" xr:uid="{00000000-0005-0000-0000-0000AE150000}"/>
    <cellStyle name="Normal 14 3 9" xfId="1246" xr:uid="{00000000-0005-0000-0000-0000AF150000}"/>
    <cellStyle name="Normal 14 3 9 2" xfId="2725" xr:uid="{00000000-0005-0000-0000-0000B0150000}"/>
    <cellStyle name="Normal 14 3 9 3" xfId="4162" xr:uid="{00000000-0005-0000-0000-0000B1150000}"/>
    <cellStyle name="Normal 14 3 9 4" xfId="5599" xr:uid="{00000000-0005-0000-0000-0000B2150000}"/>
    <cellStyle name="Normal 14 3 9 5" xfId="7045" xr:uid="{00000000-0005-0000-0000-0000B3150000}"/>
    <cellStyle name="Normal 14 3 9 6" xfId="8486" xr:uid="{00000000-0005-0000-0000-0000B4150000}"/>
    <cellStyle name="Normal 14 3 9 7" xfId="9919" xr:uid="{00000000-0005-0000-0000-0000B5150000}"/>
    <cellStyle name="Normal 14 4" xfId="224" xr:uid="{00000000-0005-0000-0000-0000B6150000}"/>
    <cellStyle name="Normal 14 4 10" xfId="3199" xr:uid="{00000000-0005-0000-0000-0000B7150000}"/>
    <cellStyle name="Normal 14 4 11" xfId="4636" xr:uid="{00000000-0005-0000-0000-0000B8150000}"/>
    <cellStyle name="Normal 14 4 12" xfId="6082" xr:uid="{00000000-0005-0000-0000-0000B9150000}"/>
    <cellStyle name="Normal 14 4 13" xfId="7520" xr:uid="{00000000-0005-0000-0000-0000BA150000}"/>
    <cellStyle name="Normal 14 4 14" xfId="8960" xr:uid="{00000000-0005-0000-0000-0000BB150000}"/>
    <cellStyle name="Normal 14 4 2" xfId="293" xr:uid="{00000000-0005-0000-0000-0000BC150000}"/>
    <cellStyle name="Normal 14 4 2 10" xfId="7585" xr:uid="{00000000-0005-0000-0000-0000BD150000}"/>
    <cellStyle name="Normal 14 4 2 11" xfId="9024" xr:uid="{00000000-0005-0000-0000-0000BE150000}"/>
    <cellStyle name="Normal 14 4 2 2" xfId="431" xr:uid="{00000000-0005-0000-0000-0000BF150000}"/>
    <cellStyle name="Normal 14 4 2 2 2" xfId="913" xr:uid="{00000000-0005-0000-0000-0000C0150000}"/>
    <cellStyle name="Normal 14 4 2 2 2 2" xfId="2404" xr:uid="{00000000-0005-0000-0000-0000C1150000}"/>
    <cellStyle name="Normal 14 4 2 2 2 3" xfId="3851" xr:uid="{00000000-0005-0000-0000-0000C2150000}"/>
    <cellStyle name="Normal 14 4 2 2 2 4" xfId="5288" xr:uid="{00000000-0005-0000-0000-0000C3150000}"/>
    <cellStyle name="Normal 14 4 2 2 2 5" xfId="6734" xr:uid="{00000000-0005-0000-0000-0000C4150000}"/>
    <cellStyle name="Normal 14 4 2 2 2 6" xfId="8174" xr:uid="{00000000-0005-0000-0000-0000C5150000}"/>
    <cellStyle name="Normal 14 4 2 2 2 7" xfId="9608" xr:uid="{00000000-0005-0000-0000-0000C6150000}"/>
    <cellStyle name="Normal 14 4 2 2 3" xfId="1465" xr:uid="{00000000-0005-0000-0000-0000C7150000}"/>
    <cellStyle name="Normal 14 4 2 2 3 2" xfId="2938" xr:uid="{00000000-0005-0000-0000-0000C8150000}"/>
    <cellStyle name="Normal 14 4 2 2 3 3" xfId="4375" xr:uid="{00000000-0005-0000-0000-0000C9150000}"/>
    <cellStyle name="Normal 14 4 2 2 3 4" xfId="5812" xr:uid="{00000000-0005-0000-0000-0000CA150000}"/>
    <cellStyle name="Normal 14 4 2 2 3 5" xfId="7258" xr:uid="{00000000-0005-0000-0000-0000CB150000}"/>
    <cellStyle name="Normal 14 4 2 2 3 6" xfId="8699" xr:uid="{00000000-0005-0000-0000-0000CC150000}"/>
    <cellStyle name="Normal 14 4 2 2 3 7" xfId="10132" xr:uid="{00000000-0005-0000-0000-0000CD150000}"/>
    <cellStyle name="Normal 14 4 2 2 4" xfId="1937" xr:uid="{00000000-0005-0000-0000-0000CE150000}"/>
    <cellStyle name="Normal 14 4 2 2 5" xfId="3394" xr:uid="{00000000-0005-0000-0000-0000CF150000}"/>
    <cellStyle name="Normal 14 4 2 2 6" xfId="4831" xr:uid="{00000000-0005-0000-0000-0000D0150000}"/>
    <cellStyle name="Normal 14 4 2 2 7" xfId="6277" xr:uid="{00000000-0005-0000-0000-0000D1150000}"/>
    <cellStyle name="Normal 14 4 2 2 8" xfId="7715" xr:uid="{00000000-0005-0000-0000-0000D2150000}"/>
    <cellStyle name="Normal 14 4 2 2 9" xfId="9152" xr:uid="{00000000-0005-0000-0000-0000D3150000}"/>
    <cellStyle name="Normal 14 4 2 3" xfId="635" xr:uid="{00000000-0005-0000-0000-0000D4150000}"/>
    <cellStyle name="Normal 14 4 2 3 2" xfId="1114" xr:uid="{00000000-0005-0000-0000-0000D5150000}"/>
    <cellStyle name="Normal 14 4 2 3 2 2" xfId="2605" xr:uid="{00000000-0005-0000-0000-0000D6150000}"/>
    <cellStyle name="Normal 14 4 2 3 2 3" xfId="4048" xr:uid="{00000000-0005-0000-0000-0000D7150000}"/>
    <cellStyle name="Normal 14 4 2 3 2 4" xfId="5485" xr:uid="{00000000-0005-0000-0000-0000D8150000}"/>
    <cellStyle name="Normal 14 4 2 3 2 5" xfId="6931" xr:uid="{00000000-0005-0000-0000-0000D9150000}"/>
    <cellStyle name="Normal 14 4 2 3 2 6" xfId="8371" xr:uid="{00000000-0005-0000-0000-0000DA150000}"/>
    <cellStyle name="Normal 14 4 2 3 2 7" xfId="9805" xr:uid="{00000000-0005-0000-0000-0000DB150000}"/>
    <cellStyle name="Normal 14 4 2 3 3" xfId="1664" xr:uid="{00000000-0005-0000-0000-0000DC150000}"/>
    <cellStyle name="Normal 14 4 2 3 3 2" xfId="3135" xr:uid="{00000000-0005-0000-0000-0000DD150000}"/>
    <cellStyle name="Normal 14 4 2 3 3 3" xfId="4572" xr:uid="{00000000-0005-0000-0000-0000DE150000}"/>
    <cellStyle name="Normal 14 4 2 3 3 4" xfId="6009" xr:uid="{00000000-0005-0000-0000-0000DF150000}"/>
    <cellStyle name="Normal 14 4 2 3 3 5" xfId="7455" xr:uid="{00000000-0005-0000-0000-0000E0150000}"/>
    <cellStyle name="Normal 14 4 2 3 3 6" xfId="8896" xr:uid="{00000000-0005-0000-0000-0000E1150000}"/>
    <cellStyle name="Normal 14 4 2 3 3 7" xfId="10329" xr:uid="{00000000-0005-0000-0000-0000E2150000}"/>
    <cellStyle name="Normal 14 4 2 3 4" xfId="2134" xr:uid="{00000000-0005-0000-0000-0000E3150000}"/>
    <cellStyle name="Normal 14 4 2 3 5" xfId="3591" xr:uid="{00000000-0005-0000-0000-0000E4150000}"/>
    <cellStyle name="Normal 14 4 2 3 6" xfId="5028" xr:uid="{00000000-0005-0000-0000-0000E5150000}"/>
    <cellStyle name="Normal 14 4 2 3 7" xfId="6474" xr:uid="{00000000-0005-0000-0000-0000E6150000}"/>
    <cellStyle name="Normal 14 4 2 3 8" xfId="7913" xr:uid="{00000000-0005-0000-0000-0000E7150000}"/>
    <cellStyle name="Normal 14 4 2 3 9" xfId="9348" xr:uid="{00000000-0005-0000-0000-0000E8150000}"/>
    <cellStyle name="Normal 14 4 2 4" xfId="777" xr:uid="{00000000-0005-0000-0000-0000E9150000}"/>
    <cellStyle name="Normal 14 4 2 4 2" xfId="2268" xr:uid="{00000000-0005-0000-0000-0000EA150000}"/>
    <cellStyle name="Normal 14 4 2 4 3" xfId="3721" xr:uid="{00000000-0005-0000-0000-0000EB150000}"/>
    <cellStyle name="Normal 14 4 2 4 4" xfId="5158" xr:uid="{00000000-0005-0000-0000-0000EC150000}"/>
    <cellStyle name="Normal 14 4 2 4 5" xfId="6604" xr:uid="{00000000-0005-0000-0000-0000ED150000}"/>
    <cellStyle name="Normal 14 4 2 4 6" xfId="8044" xr:uid="{00000000-0005-0000-0000-0000EE150000}"/>
    <cellStyle name="Normal 14 4 2 4 7" xfId="9478" xr:uid="{00000000-0005-0000-0000-0000EF150000}"/>
    <cellStyle name="Normal 14 4 2 5" xfId="1333" xr:uid="{00000000-0005-0000-0000-0000F0150000}"/>
    <cellStyle name="Normal 14 4 2 5 2" xfId="2808" xr:uid="{00000000-0005-0000-0000-0000F1150000}"/>
    <cellStyle name="Normal 14 4 2 5 3" xfId="4245" xr:uid="{00000000-0005-0000-0000-0000F2150000}"/>
    <cellStyle name="Normal 14 4 2 5 4" xfId="5682" xr:uid="{00000000-0005-0000-0000-0000F3150000}"/>
    <cellStyle name="Normal 14 4 2 5 5" xfId="7128" xr:uid="{00000000-0005-0000-0000-0000F4150000}"/>
    <cellStyle name="Normal 14 4 2 5 6" xfId="8569" xr:uid="{00000000-0005-0000-0000-0000F5150000}"/>
    <cellStyle name="Normal 14 4 2 5 7" xfId="10002" xr:uid="{00000000-0005-0000-0000-0000F6150000}"/>
    <cellStyle name="Normal 14 4 2 6" xfId="1807" xr:uid="{00000000-0005-0000-0000-0000F7150000}"/>
    <cellStyle name="Normal 14 4 2 7" xfId="3264" xr:uid="{00000000-0005-0000-0000-0000F8150000}"/>
    <cellStyle name="Normal 14 4 2 8" xfId="4701" xr:uid="{00000000-0005-0000-0000-0000F9150000}"/>
    <cellStyle name="Normal 14 4 2 9" xfId="6147" xr:uid="{00000000-0005-0000-0000-0000FA150000}"/>
    <cellStyle name="Normal 14 4 3" xfId="362" xr:uid="{00000000-0005-0000-0000-0000FB150000}"/>
    <cellStyle name="Normal 14 4 3 2" xfId="844" xr:uid="{00000000-0005-0000-0000-0000FC150000}"/>
    <cellStyle name="Normal 14 4 3 2 2" xfId="2335" xr:uid="{00000000-0005-0000-0000-0000FD150000}"/>
    <cellStyle name="Normal 14 4 3 2 3" xfId="3786" xr:uid="{00000000-0005-0000-0000-0000FE150000}"/>
    <cellStyle name="Normal 14 4 3 2 4" xfId="5223" xr:uid="{00000000-0005-0000-0000-0000FF150000}"/>
    <cellStyle name="Normal 14 4 3 2 5" xfId="6669" xr:uid="{00000000-0005-0000-0000-000000160000}"/>
    <cellStyle name="Normal 14 4 3 2 6" xfId="8109" xr:uid="{00000000-0005-0000-0000-000001160000}"/>
    <cellStyle name="Normal 14 4 3 2 7" xfId="9543" xr:uid="{00000000-0005-0000-0000-000002160000}"/>
    <cellStyle name="Normal 14 4 3 3" xfId="1398" xr:uid="{00000000-0005-0000-0000-000003160000}"/>
    <cellStyle name="Normal 14 4 3 3 2" xfId="2873" xr:uid="{00000000-0005-0000-0000-000004160000}"/>
    <cellStyle name="Normal 14 4 3 3 3" xfId="4310" xr:uid="{00000000-0005-0000-0000-000005160000}"/>
    <cellStyle name="Normal 14 4 3 3 4" xfId="5747" xr:uid="{00000000-0005-0000-0000-000006160000}"/>
    <cellStyle name="Normal 14 4 3 3 5" xfId="7193" xr:uid="{00000000-0005-0000-0000-000007160000}"/>
    <cellStyle name="Normal 14 4 3 3 6" xfId="8634" xr:uid="{00000000-0005-0000-0000-000008160000}"/>
    <cellStyle name="Normal 14 4 3 3 7" xfId="10067" xr:uid="{00000000-0005-0000-0000-000009160000}"/>
    <cellStyle name="Normal 14 4 3 4" xfId="1872" xr:uid="{00000000-0005-0000-0000-00000A160000}"/>
    <cellStyle name="Normal 14 4 3 5" xfId="3329" xr:uid="{00000000-0005-0000-0000-00000B160000}"/>
    <cellStyle name="Normal 14 4 3 6" xfId="4766" xr:uid="{00000000-0005-0000-0000-00000C160000}"/>
    <cellStyle name="Normal 14 4 3 7" xfId="6212" xr:uid="{00000000-0005-0000-0000-00000D160000}"/>
    <cellStyle name="Normal 14 4 3 8" xfId="7650" xr:uid="{00000000-0005-0000-0000-00000E160000}"/>
    <cellStyle name="Normal 14 4 3 9" xfId="9087" xr:uid="{00000000-0005-0000-0000-00000F160000}"/>
    <cellStyle name="Normal 14 4 4" xfId="501" xr:uid="{00000000-0005-0000-0000-000010160000}"/>
    <cellStyle name="Normal 14 4 4 2" xfId="980" xr:uid="{00000000-0005-0000-0000-000011160000}"/>
    <cellStyle name="Normal 14 4 4 2 2" xfId="2471" xr:uid="{00000000-0005-0000-0000-000012160000}"/>
    <cellStyle name="Normal 14 4 4 2 3" xfId="3918" xr:uid="{00000000-0005-0000-0000-000013160000}"/>
    <cellStyle name="Normal 14 4 4 2 4" xfId="5355" xr:uid="{00000000-0005-0000-0000-000014160000}"/>
    <cellStyle name="Normal 14 4 4 2 5" xfId="6801" xr:uid="{00000000-0005-0000-0000-000015160000}"/>
    <cellStyle name="Normal 14 4 4 2 6" xfId="8241" xr:uid="{00000000-0005-0000-0000-000016160000}"/>
    <cellStyle name="Normal 14 4 4 2 7" xfId="9675" xr:uid="{00000000-0005-0000-0000-000017160000}"/>
    <cellStyle name="Normal 14 4 4 3" xfId="1532" xr:uid="{00000000-0005-0000-0000-000018160000}"/>
    <cellStyle name="Normal 14 4 4 3 2" xfId="3005" xr:uid="{00000000-0005-0000-0000-000019160000}"/>
    <cellStyle name="Normal 14 4 4 3 3" xfId="4442" xr:uid="{00000000-0005-0000-0000-00001A160000}"/>
    <cellStyle name="Normal 14 4 4 3 4" xfId="5879" xr:uid="{00000000-0005-0000-0000-00001B160000}"/>
    <cellStyle name="Normal 14 4 4 3 5" xfId="7325" xr:uid="{00000000-0005-0000-0000-00001C160000}"/>
    <cellStyle name="Normal 14 4 4 3 6" xfId="8766" xr:uid="{00000000-0005-0000-0000-00001D160000}"/>
    <cellStyle name="Normal 14 4 4 3 7" xfId="10199" xr:uid="{00000000-0005-0000-0000-00001E160000}"/>
    <cellStyle name="Normal 14 4 4 4" xfId="2004" xr:uid="{00000000-0005-0000-0000-00001F160000}"/>
    <cellStyle name="Normal 14 4 4 5" xfId="3461" xr:uid="{00000000-0005-0000-0000-000020160000}"/>
    <cellStyle name="Normal 14 4 4 6" xfId="4898" xr:uid="{00000000-0005-0000-0000-000021160000}"/>
    <cellStyle name="Normal 14 4 4 7" xfId="6344" xr:uid="{00000000-0005-0000-0000-000022160000}"/>
    <cellStyle name="Normal 14 4 4 8" xfId="7782" xr:uid="{00000000-0005-0000-0000-000023160000}"/>
    <cellStyle name="Normal 14 4 4 9" xfId="9219" xr:uid="{00000000-0005-0000-0000-000024160000}"/>
    <cellStyle name="Normal 14 4 5" xfId="566" xr:uid="{00000000-0005-0000-0000-000025160000}"/>
    <cellStyle name="Normal 14 4 5 2" xfId="1045" xr:uid="{00000000-0005-0000-0000-000026160000}"/>
    <cellStyle name="Normal 14 4 5 2 2" xfId="2536" xr:uid="{00000000-0005-0000-0000-000027160000}"/>
    <cellStyle name="Normal 14 4 5 2 3" xfId="3983" xr:uid="{00000000-0005-0000-0000-000028160000}"/>
    <cellStyle name="Normal 14 4 5 2 4" xfId="5420" xr:uid="{00000000-0005-0000-0000-000029160000}"/>
    <cellStyle name="Normal 14 4 5 2 5" xfId="6866" xr:uid="{00000000-0005-0000-0000-00002A160000}"/>
    <cellStyle name="Normal 14 4 5 2 6" xfId="8306" xr:uid="{00000000-0005-0000-0000-00002B160000}"/>
    <cellStyle name="Normal 14 4 5 2 7" xfId="9740" xr:uid="{00000000-0005-0000-0000-00002C160000}"/>
    <cellStyle name="Normal 14 4 5 3" xfId="1597" xr:uid="{00000000-0005-0000-0000-00002D160000}"/>
    <cellStyle name="Normal 14 4 5 3 2" xfId="3070" xr:uid="{00000000-0005-0000-0000-00002E160000}"/>
    <cellStyle name="Normal 14 4 5 3 3" xfId="4507" xr:uid="{00000000-0005-0000-0000-00002F160000}"/>
    <cellStyle name="Normal 14 4 5 3 4" xfId="5944" xr:uid="{00000000-0005-0000-0000-000030160000}"/>
    <cellStyle name="Normal 14 4 5 3 5" xfId="7390" xr:uid="{00000000-0005-0000-0000-000031160000}"/>
    <cellStyle name="Normal 14 4 5 3 6" xfId="8831" xr:uid="{00000000-0005-0000-0000-000032160000}"/>
    <cellStyle name="Normal 14 4 5 3 7" xfId="10264" xr:uid="{00000000-0005-0000-0000-000033160000}"/>
    <cellStyle name="Normal 14 4 5 4" xfId="2069" xr:uid="{00000000-0005-0000-0000-000034160000}"/>
    <cellStyle name="Normal 14 4 5 5" xfId="3526" xr:uid="{00000000-0005-0000-0000-000035160000}"/>
    <cellStyle name="Normal 14 4 5 6" xfId="4963" xr:uid="{00000000-0005-0000-0000-000036160000}"/>
    <cellStyle name="Normal 14 4 5 7" xfId="6409" xr:uid="{00000000-0005-0000-0000-000037160000}"/>
    <cellStyle name="Normal 14 4 5 8" xfId="7847" xr:uid="{00000000-0005-0000-0000-000038160000}"/>
    <cellStyle name="Normal 14 4 5 9" xfId="9283" xr:uid="{00000000-0005-0000-0000-000039160000}"/>
    <cellStyle name="Normal 14 4 6" xfId="708" xr:uid="{00000000-0005-0000-0000-00003A160000}"/>
    <cellStyle name="Normal 14 4 6 2" xfId="2199" xr:uid="{00000000-0005-0000-0000-00003B160000}"/>
    <cellStyle name="Normal 14 4 6 3" xfId="3656" xr:uid="{00000000-0005-0000-0000-00003C160000}"/>
    <cellStyle name="Normal 14 4 6 4" xfId="5093" xr:uid="{00000000-0005-0000-0000-00003D160000}"/>
    <cellStyle name="Normal 14 4 6 5" xfId="6539" xr:uid="{00000000-0005-0000-0000-00003E160000}"/>
    <cellStyle name="Normal 14 4 6 6" xfId="7978" xr:uid="{00000000-0005-0000-0000-00003F160000}"/>
    <cellStyle name="Normal 14 4 6 7" xfId="9413" xr:uid="{00000000-0005-0000-0000-000040160000}"/>
    <cellStyle name="Normal 14 4 7" xfId="1199" xr:uid="{00000000-0005-0000-0000-000041160000}"/>
    <cellStyle name="Normal 14 4 7 2" xfId="2678" xr:uid="{00000000-0005-0000-0000-000042160000}"/>
    <cellStyle name="Normal 14 4 7 3" xfId="4115" xr:uid="{00000000-0005-0000-0000-000043160000}"/>
    <cellStyle name="Normal 14 4 7 4" xfId="5552" xr:uid="{00000000-0005-0000-0000-000044160000}"/>
    <cellStyle name="Normal 14 4 7 5" xfId="6998" xr:uid="{00000000-0005-0000-0000-000045160000}"/>
    <cellStyle name="Normal 14 4 7 6" xfId="8439" xr:uid="{00000000-0005-0000-0000-000046160000}"/>
    <cellStyle name="Normal 14 4 7 7" xfId="9872" xr:uid="{00000000-0005-0000-0000-000047160000}"/>
    <cellStyle name="Normal 14 4 8" xfId="1264" xr:uid="{00000000-0005-0000-0000-000048160000}"/>
    <cellStyle name="Normal 14 4 8 2" xfId="2743" xr:uid="{00000000-0005-0000-0000-000049160000}"/>
    <cellStyle name="Normal 14 4 8 3" xfId="4180" xr:uid="{00000000-0005-0000-0000-00004A160000}"/>
    <cellStyle name="Normal 14 4 8 4" xfId="5617" xr:uid="{00000000-0005-0000-0000-00004B160000}"/>
    <cellStyle name="Normal 14 4 8 5" xfId="7063" xr:uid="{00000000-0005-0000-0000-00004C160000}"/>
    <cellStyle name="Normal 14 4 8 6" xfId="8504" xr:uid="{00000000-0005-0000-0000-00004D160000}"/>
    <cellStyle name="Normal 14 4 8 7" xfId="9937" xr:uid="{00000000-0005-0000-0000-00004E160000}"/>
    <cellStyle name="Normal 14 4 9" xfId="1742" xr:uid="{00000000-0005-0000-0000-00004F160000}"/>
    <cellStyle name="Normal 14 5" xfId="262" xr:uid="{00000000-0005-0000-0000-000050160000}"/>
    <cellStyle name="Normal 14 5 10" xfId="7551" xr:uid="{00000000-0005-0000-0000-000051160000}"/>
    <cellStyle name="Normal 14 5 11" xfId="8990" xr:uid="{00000000-0005-0000-0000-000052160000}"/>
    <cellStyle name="Normal 14 5 2" xfId="397" xr:uid="{00000000-0005-0000-0000-000053160000}"/>
    <cellStyle name="Normal 14 5 2 2" xfId="879" xr:uid="{00000000-0005-0000-0000-000054160000}"/>
    <cellStyle name="Normal 14 5 2 2 2" xfId="2370" xr:uid="{00000000-0005-0000-0000-000055160000}"/>
    <cellStyle name="Normal 14 5 2 2 3" xfId="3817" xr:uid="{00000000-0005-0000-0000-000056160000}"/>
    <cellStyle name="Normal 14 5 2 2 4" xfId="5254" xr:uid="{00000000-0005-0000-0000-000057160000}"/>
    <cellStyle name="Normal 14 5 2 2 5" xfId="6700" xr:uid="{00000000-0005-0000-0000-000058160000}"/>
    <cellStyle name="Normal 14 5 2 2 6" xfId="8140" xr:uid="{00000000-0005-0000-0000-000059160000}"/>
    <cellStyle name="Normal 14 5 2 2 7" xfId="9574" xr:uid="{00000000-0005-0000-0000-00005A160000}"/>
    <cellStyle name="Normal 14 5 2 3" xfId="1431" xr:uid="{00000000-0005-0000-0000-00005B160000}"/>
    <cellStyle name="Normal 14 5 2 3 2" xfId="2904" xr:uid="{00000000-0005-0000-0000-00005C160000}"/>
    <cellStyle name="Normal 14 5 2 3 3" xfId="4341" xr:uid="{00000000-0005-0000-0000-00005D160000}"/>
    <cellStyle name="Normal 14 5 2 3 4" xfId="5778" xr:uid="{00000000-0005-0000-0000-00005E160000}"/>
    <cellStyle name="Normal 14 5 2 3 5" xfId="7224" xr:uid="{00000000-0005-0000-0000-00005F160000}"/>
    <cellStyle name="Normal 14 5 2 3 6" xfId="8665" xr:uid="{00000000-0005-0000-0000-000060160000}"/>
    <cellStyle name="Normal 14 5 2 3 7" xfId="10098" xr:uid="{00000000-0005-0000-0000-000061160000}"/>
    <cellStyle name="Normal 14 5 2 4" xfId="1903" xr:uid="{00000000-0005-0000-0000-000062160000}"/>
    <cellStyle name="Normal 14 5 2 5" xfId="3360" xr:uid="{00000000-0005-0000-0000-000063160000}"/>
    <cellStyle name="Normal 14 5 2 6" xfId="4797" xr:uid="{00000000-0005-0000-0000-000064160000}"/>
    <cellStyle name="Normal 14 5 2 7" xfId="6243" xr:uid="{00000000-0005-0000-0000-000065160000}"/>
    <cellStyle name="Normal 14 5 2 8" xfId="7681" xr:uid="{00000000-0005-0000-0000-000066160000}"/>
    <cellStyle name="Normal 14 5 2 9" xfId="9118" xr:uid="{00000000-0005-0000-0000-000067160000}"/>
    <cellStyle name="Normal 14 5 3" xfId="601" xr:uid="{00000000-0005-0000-0000-000068160000}"/>
    <cellStyle name="Normal 14 5 3 2" xfId="1080" xr:uid="{00000000-0005-0000-0000-000069160000}"/>
    <cellStyle name="Normal 14 5 3 2 2" xfId="2571" xr:uid="{00000000-0005-0000-0000-00006A160000}"/>
    <cellStyle name="Normal 14 5 3 2 3" xfId="4014" xr:uid="{00000000-0005-0000-0000-00006B160000}"/>
    <cellStyle name="Normal 14 5 3 2 4" xfId="5451" xr:uid="{00000000-0005-0000-0000-00006C160000}"/>
    <cellStyle name="Normal 14 5 3 2 5" xfId="6897" xr:uid="{00000000-0005-0000-0000-00006D160000}"/>
    <cellStyle name="Normal 14 5 3 2 6" xfId="8337" xr:uid="{00000000-0005-0000-0000-00006E160000}"/>
    <cellStyle name="Normal 14 5 3 2 7" xfId="9771" xr:uid="{00000000-0005-0000-0000-00006F160000}"/>
    <cellStyle name="Normal 14 5 3 3" xfId="1630" xr:uid="{00000000-0005-0000-0000-000070160000}"/>
    <cellStyle name="Normal 14 5 3 3 2" xfId="3101" xr:uid="{00000000-0005-0000-0000-000071160000}"/>
    <cellStyle name="Normal 14 5 3 3 3" xfId="4538" xr:uid="{00000000-0005-0000-0000-000072160000}"/>
    <cellStyle name="Normal 14 5 3 3 4" xfId="5975" xr:uid="{00000000-0005-0000-0000-000073160000}"/>
    <cellStyle name="Normal 14 5 3 3 5" xfId="7421" xr:uid="{00000000-0005-0000-0000-000074160000}"/>
    <cellStyle name="Normal 14 5 3 3 6" xfId="8862" xr:uid="{00000000-0005-0000-0000-000075160000}"/>
    <cellStyle name="Normal 14 5 3 3 7" xfId="10295" xr:uid="{00000000-0005-0000-0000-000076160000}"/>
    <cellStyle name="Normal 14 5 3 4" xfId="2100" xr:uid="{00000000-0005-0000-0000-000077160000}"/>
    <cellStyle name="Normal 14 5 3 5" xfId="3557" xr:uid="{00000000-0005-0000-0000-000078160000}"/>
    <cellStyle name="Normal 14 5 3 6" xfId="4994" xr:uid="{00000000-0005-0000-0000-000079160000}"/>
    <cellStyle name="Normal 14 5 3 7" xfId="6440" xr:uid="{00000000-0005-0000-0000-00007A160000}"/>
    <cellStyle name="Normal 14 5 3 8" xfId="7879" xr:uid="{00000000-0005-0000-0000-00007B160000}"/>
    <cellStyle name="Normal 14 5 3 9" xfId="9314" xr:uid="{00000000-0005-0000-0000-00007C160000}"/>
    <cellStyle name="Normal 14 5 4" xfId="743" xr:uid="{00000000-0005-0000-0000-00007D160000}"/>
    <cellStyle name="Normal 14 5 4 2" xfId="2234" xr:uid="{00000000-0005-0000-0000-00007E160000}"/>
    <cellStyle name="Normal 14 5 4 3" xfId="3687" xr:uid="{00000000-0005-0000-0000-00007F160000}"/>
    <cellStyle name="Normal 14 5 4 4" xfId="5124" xr:uid="{00000000-0005-0000-0000-000080160000}"/>
    <cellStyle name="Normal 14 5 4 5" xfId="6570" xr:uid="{00000000-0005-0000-0000-000081160000}"/>
    <cellStyle name="Normal 14 5 4 6" xfId="8010" xr:uid="{00000000-0005-0000-0000-000082160000}"/>
    <cellStyle name="Normal 14 5 4 7" xfId="9444" xr:uid="{00000000-0005-0000-0000-000083160000}"/>
    <cellStyle name="Normal 14 5 5" xfId="1299" xr:uid="{00000000-0005-0000-0000-000084160000}"/>
    <cellStyle name="Normal 14 5 5 2" xfId="2774" xr:uid="{00000000-0005-0000-0000-000085160000}"/>
    <cellStyle name="Normal 14 5 5 3" xfId="4211" xr:uid="{00000000-0005-0000-0000-000086160000}"/>
    <cellStyle name="Normal 14 5 5 4" xfId="5648" xr:uid="{00000000-0005-0000-0000-000087160000}"/>
    <cellStyle name="Normal 14 5 5 5" xfId="7094" xr:uid="{00000000-0005-0000-0000-000088160000}"/>
    <cellStyle name="Normal 14 5 5 6" xfId="8535" xr:uid="{00000000-0005-0000-0000-000089160000}"/>
    <cellStyle name="Normal 14 5 5 7" xfId="9968" xr:uid="{00000000-0005-0000-0000-00008A160000}"/>
    <cellStyle name="Normal 14 5 6" xfId="1773" xr:uid="{00000000-0005-0000-0000-00008B160000}"/>
    <cellStyle name="Normal 14 5 7" xfId="3230" xr:uid="{00000000-0005-0000-0000-00008C160000}"/>
    <cellStyle name="Normal 14 5 8" xfId="4667" xr:uid="{00000000-0005-0000-0000-00008D160000}"/>
    <cellStyle name="Normal 14 5 9" xfId="6113" xr:uid="{00000000-0005-0000-0000-00008E160000}"/>
    <cellStyle name="Normal 14 6" xfId="328" xr:uid="{00000000-0005-0000-0000-00008F160000}"/>
    <cellStyle name="Normal 14 6 2" xfId="810" xr:uid="{00000000-0005-0000-0000-000090160000}"/>
    <cellStyle name="Normal 14 6 2 2" xfId="2301" xr:uid="{00000000-0005-0000-0000-000091160000}"/>
    <cellStyle name="Normal 14 6 2 3" xfId="3752" xr:uid="{00000000-0005-0000-0000-000092160000}"/>
    <cellStyle name="Normal 14 6 2 4" xfId="5189" xr:uid="{00000000-0005-0000-0000-000093160000}"/>
    <cellStyle name="Normal 14 6 2 5" xfId="6635" xr:uid="{00000000-0005-0000-0000-000094160000}"/>
    <cellStyle name="Normal 14 6 2 6" xfId="8075" xr:uid="{00000000-0005-0000-0000-000095160000}"/>
    <cellStyle name="Normal 14 6 2 7" xfId="9509" xr:uid="{00000000-0005-0000-0000-000096160000}"/>
    <cellStyle name="Normal 14 6 3" xfId="1364" xr:uid="{00000000-0005-0000-0000-000097160000}"/>
    <cellStyle name="Normal 14 6 3 2" xfId="2839" xr:uid="{00000000-0005-0000-0000-000098160000}"/>
    <cellStyle name="Normal 14 6 3 3" xfId="4276" xr:uid="{00000000-0005-0000-0000-000099160000}"/>
    <cellStyle name="Normal 14 6 3 4" xfId="5713" xr:uid="{00000000-0005-0000-0000-00009A160000}"/>
    <cellStyle name="Normal 14 6 3 5" xfId="7159" xr:uid="{00000000-0005-0000-0000-00009B160000}"/>
    <cellStyle name="Normal 14 6 3 6" xfId="8600" xr:uid="{00000000-0005-0000-0000-00009C160000}"/>
    <cellStyle name="Normal 14 6 3 7" xfId="10033" xr:uid="{00000000-0005-0000-0000-00009D160000}"/>
    <cellStyle name="Normal 14 6 4" xfId="1838" xr:uid="{00000000-0005-0000-0000-00009E160000}"/>
    <cellStyle name="Normal 14 6 5" xfId="3295" xr:uid="{00000000-0005-0000-0000-00009F160000}"/>
    <cellStyle name="Normal 14 6 6" xfId="4732" xr:uid="{00000000-0005-0000-0000-0000A0160000}"/>
    <cellStyle name="Normal 14 6 7" xfId="6178" xr:uid="{00000000-0005-0000-0000-0000A1160000}"/>
    <cellStyle name="Normal 14 6 8" xfId="7616" xr:uid="{00000000-0005-0000-0000-0000A2160000}"/>
    <cellStyle name="Normal 14 6 9" xfId="9054" xr:uid="{00000000-0005-0000-0000-0000A3160000}"/>
    <cellStyle name="Normal 14 7" xfId="462" xr:uid="{00000000-0005-0000-0000-0000A4160000}"/>
    <cellStyle name="Normal 14 7 2" xfId="941" xr:uid="{00000000-0005-0000-0000-0000A5160000}"/>
    <cellStyle name="Normal 14 7 2 2" xfId="2432" xr:uid="{00000000-0005-0000-0000-0000A6160000}"/>
    <cellStyle name="Normal 14 7 2 3" xfId="3879" xr:uid="{00000000-0005-0000-0000-0000A7160000}"/>
    <cellStyle name="Normal 14 7 2 4" xfId="5316" xr:uid="{00000000-0005-0000-0000-0000A8160000}"/>
    <cellStyle name="Normal 14 7 2 5" xfId="6762" xr:uid="{00000000-0005-0000-0000-0000A9160000}"/>
    <cellStyle name="Normal 14 7 2 6" xfId="8202" xr:uid="{00000000-0005-0000-0000-0000AA160000}"/>
    <cellStyle name="Normal 14 7 2 7" xfId="9636" xr:uid="{00000000-0005-0000-0000-0000AB160000}"/>
    <cellStyle name="Normal 14 7 3" xfId="1493" xr:uid="{00000000-0005-0000-0000-0000AC160000}"/>
    <cellStyle name="Normal 14 7 3 2" xfId="2966" xr:uid="{00000000-0005-0000-0000-0000AD160000}"/>
    <cellStyle name="Normal 14 7 3 3" xfId="4403" xr:uid="{00000000-0005-0000-0000-0000AE160000}"/>
    <cellStyle name="Normal 14 7 3 4" xfId="5840" xr:uid="{00000000-0005-0000-0000-0000AF160000}"/>
    <cellStyle name="Normal 14 7 3 5" xfId="7286" xr:uid="{00000000-0005-0000-0000-0000B0160000}"/>
    <cellStyle name="Normal 14 7 3 6" xfId="8727" xr:uid="{00000000-0005-0000-0000-0000B1160000}"/>
    <cellStyle name="Normal 14 7 3 7" xfId="10160" xr:uid="{00000000-0005-0000-0000-0000B2160000}"/>
    <cellStyle name="Normal 14 7 4" xfId="1965" xr:uid="{00000000-0005-0000-0000-0000B3160000}"/>
    <cellStyle name="Normal 14 7 5" xfId="3422" xr:uid="{00000000-0005-0000-0000-0000B4160000}"/>
    <cellStyle name="Normal 14 7 6" xfId="4859" xr:uid="{00000000-0005-0000-0000-0000B5160000}"/>
    <cellStyle name="Normal 14 7 7" xfId="6305" xr:uid="{00000000-0005-0000-0000-0000B6160000}"/>
    <cellStyle name="Normal 14 7 8" xfId="7743" xr:uid="{00000000-0005-0000-0000-0000B7160000}"/>
    <cellStyle name="Normal 14 7 9" xfId="9180" xr:uid="{00000000-0005-0000-0000-0000B8160000}"/>
    <cellStyle name="Normal 14 8" xfId="532" xr:uid="{00000000-0005-0000-0000-0000B9160000}"/>
    <cellStyle name="Normal 14 8 2" xfId="1011" xr:uid="{00000000-0005-0000-0000-0000BA160000}"/>
    <cellStyle name="Normal 14 8 2 2" xfId="2502" xr:uid="{00000000-0005-0000-0000-0000BB160000}"/>
    <cellStyle name="Normal 14 8 2 3" xfId="3949" xr:uid="{00000000-0005-0000-0000-0000BC160000}"/>
    <cellStyle name="Normal 14 8 2 4" xfId="5386" xr:uid="{00000000-0005-0000-0000-0000BD160000}"/>
    <cellStyle name="Normal 14 8 2 5" xfId="6832" xr:uid="{00000000-0005-0000-0000-0000BE160000}"/>
    <cellStyle name="Normal 14 8 2 6" xfId="8272" xr:uid="{00000000-0005-0000-0000-0000BF160000}"/>
    <cellStyle name="Normal 14 8 2 7" xfId="9706" xr:uid="{00000000-0005-0000-0000-0000C0160000}"/>
    <cellStyle name="Normal 14 8 3" xfId="1563" xr:uid="{00000000-0005-0000-0000-0000C1160000}"/>
    <cellStyle name="Normal 14 8 3 2" xfId="3036" xr:uid="{00000000-0005-0000-0000-0000C2160000}"/>
    <cellStyle name="Normal 14 8 3 3" xfId="4473" xr:uid="{00000000-0005-0000-0000-0000C3160000}"/>
    <cellStyle name="Normal 14 8 3 4" xfId="5910" xr:uid="{00000000-0005-0000-0000-0000C4160000}"/>
    <cellStyle name="Normal 14 8 3 5" xfId="7356" xr:uid="{00000000-0005-0000-0000-0000C5160000}"/>
    <cellStyle name="Normal 14 8 3 6" xfId="8797" xr:uid="{00000000-0005-0000-0000-0000C6160000}"/>
    <cellStyle name="Normal 14 8 3 7" xfId="10230" xr:uid="{00000000-0005-0000-0000-0000C7160000}"/>
    <cellStyle name="Normal 14 8 4" xfId="2035" xr:uid="{00000000-0005-0000-0000-0000C8160000}"/>
    <cellStyle name="Normal 14 8 5" xfId="3492" xr:uid="{00000000-0005-0000-0000-0000C9160000}"/>
    <cellStyle name="Normal 14 8 6" xfId="4929" xr:uid="{00000000-0005-0000-0000-0000CA160000}"/>
    <cellStyle name="Normal 14 8 7" xfId="6375" xr:uid="{00000000-0005-0000-0000-0000CB160000}"/>
    <cellStyle name="Normal 14 8 8" xfId="7813" xr:uid="{00000000-0005-0000-0000-0000CC160000}"/>
    <cellStyle name="Normal 14 8 9" xfId="9250" xr:uid="{00000000-0005-0000-0000-0000CD160000}"/>
    <cellStyle name="Normal 14 9" xfId="674" xr:uid="{00000000-0005-0000-0000-0000CE160000}"/>
    <cellStyle name="Normal 14 9 2" xfId="2165" xr:uid="{00000000-0005-0000-0000-0000CF160000}"/>
    <cellStyle name="Normal 14 9 3" xfId="3622" xr:uid="{00000000-0005-0000-0000-0000D0160000}"/>
    <cellStyle name="Normal 14 9 4" xfId="5059" xr:uid="{00000000-0005-0000-0000-0000D1160000}"/>
    <cellStyle name="Normal 14 9 5" xfId="6505" xr:uid="{00000000-0005-0000-0000-0000D2160000}"/>
    <cellStyle name="Normal 14 9 6" xfId="7944" xr:uid="{00000000-0005-0000-0000-0000D3160000}"/>
    <cellStyle name="Normal 14 9 7" xfId="9379" xr:uid="{00000000-0005-0000-0000-0000D4160000}"/>
    <cellStyle name="Normal 15" xfId="49" xr:uid="{00000000-0005-0000-0000-0000D5160000}"/>
    <cellStyle name="Normal 15 2" xfId="182" xr:uid="{00000000-0005-0000-0000-0000D6160000}"/>
    <cellStyle name="Normal 16" xfId="117" xr:uid="{00000000-0005-0000-0000-0000D7160000}"/>
    <cellStyle name="Normal 16 10" xfId="1231" xr:uid="{00000000-0005-0000-0000-0000D8160000}"/>
    <cellStyle name="Normal 16 10 2" xfId="2710" xr:uid="{00000000-0005-0000-0000-0000D9160000}"/>
    <cellStyle name="Normal 16 10 3" xfId="4147" xr:uid="{00000000-0005-0000-0000-0000DA160000}"/>
    <cellStyle name="Normal 16 10 4" xfId="5584" xr:uid="{00000000-0005-0000-0000-0000DB160000}"/>
    <cellStyle name="Normal 16 10 5" xfId="7030" xr:uid="{00000000-0005-0000-0000-0000DC160000}"/>
    <cellStyle name="Normal 16 10 6" xfId="8471" xr:uid="{00000000-0005-0000-0000-0000DD160000}"/>
    <cellStyle name="Normal 16 10 7" xfId="9904" xr:uid="{00000000-0005-0000-0000-0000DE160000}"/>
    <cellStyle name="Normal 16 11" xfId="1710" xr:uid="{00000000-0005-0000-0000-0000DF160000}"/>
    <cellStyle name="Normal 16 12" xfId="3167" xr:uid="{00000000-0005-0000-0000-0000E0160000}"/>
    <cellStyle name="Normal 16 13" xfId="4604" xr:uid="{00000000-0005-0000-0000-0000E1160000}"/>
    <cellStyle name="Normal 16 14" xfId="6050" xr:uid="{00000000-0005-0000-0000-0000E2160000}"/>
    <cellStyle name="Normal 16 15" xfId="7488" xr:uid="{00000000-0005-0000-0000-0000E3160000}"/>
    <cellStyle name="Normal 16 16" xfId="8928" xr:uid="{00000000-0005-0000-0000-0000E4160000}"/>
    <cellStyle name="Normal 16 2" xfId="176" xr:uid="{00000000-0005-0000-0000-0000E5160000}"/>
    <cellStyle name="Normal 16 2 10" xfId="1727" xr:uid="{00000000-0005-0000-0000-0000E6160000}"/>
    <cellStyle name="Normal 16 2 11" xfId="3184" xr:uid="{00000000-0005-0000-0000-0000E7160000}"/>
    <cellStyle name="Normal 16 2 12" xfId="4621" xr:uid="{00000000-0005-0000-0000-0000E8160000}"/>
    <cellStyle name="Normal 16 2 13" xfId="6067" xr:uid="{00000000-0005-0000-0000-0000E9160000}"/>
    <cellStyle name="Normal 16 2 14" xfId="7505" xr:uid="{00000000-0005-0000-0000-0000EA160000}"/>
    <cellStyle name="Normal 16 2 15" xfId="8945" xr:uid="{00000000-0005-0000-0000-0000EB160000}"/>
    <cellStyle name="Normal 16 2 2" xfId="242" xr:uid="{00000000-0005-0000-0000-0000EC160000}"/>
    <cellStyle name="Normal 16 2 2 10" xfId="3216" xr:uid="{00000000-0005-0000-0000-0000ED160000}"/>
    <cellStyle name="Normal 16 2 2 11" xfId="4653" xr:uid="{00000000-0005-0000-0000-0000EE160000}"/>
    <cellStyle name="Normal 16 2 2 12" xfId="6099" xr:uid="{00000000-0005-0000-0000-0000EF160000}"/>
    <cellStyle name="Normal 16 2 2 13" xfId="7537" xr:uid="{00000000-0005-0000-0000-0000F0160000}"/>
    <cellStyle name="Normal 16 2 2 14" xfId="8977" xr:uid="{00000000-0005-0000-0000-0000F1160000}"/>
    <cellStyle name="Normal 16 2 2 2" xfId="310" xr:uid="{00000000-0005-0000-0000-0000F2160000}"/>
    <cellStyle name="Normal 16 2 2 2 10" xfId="7602" xr:uid="{00000000-0005-0000-0000-0000F3160000}"/>
    <cellStyle name="Normal 16 2 2 2 11" xfId="9041" xr:uid="{00000000-0005-0000-0000-0000F4160000}"/>
    <cellStyle name="Normal 16 2 2 2 2" xfId="448" xr:uid="{00000000-0005-0000-0000-0000F5160000}"/>
    <cellStyle name="Normal 16 2 2 2 2 2" xfId="930" xr:uid="{00000000-0005-0000-0000-0000F6160000}"/>
    <cellStyle name="Normal 16 2 2 2 2 2 2" xfId="2421" xr:uid="{00000000-0005-0000-0000-0000F7160000}"/>
    <cellStyle name="Normal 16 2 2 2 2 2 3" xfId="3868" xr:uid="{00000000-0005-0000-0000-0000F8160000}"/>
    <cellStyle name="Normal 16 2 2 2 2 2 4" xfId="5305" xr:uid="{00000000-0005-0000-0000-0000F9160000}"/>
    <cellStyle name="Normal 16 2 2 2 2 2 5" xfId="6751" xr:uid="{00000000-0005-0000-0000-0000FA160000}"/>
    <cellStyle name="Normal 16 2 2 2 2 2 6" xfId="8191" xr:uid="{00000000-0005-0000-0000-0000FB160000}"/>
    <cellStyle name="Normal 16 2 2 2 2 2 7" xfId="9625" xr:uid="{00000000-0005-0000-0000-0000FC160000}"/>
    <cellStyle name="Normal 16 2 2 2 2 3" xfId="1482" xr:uid="{00000000-0005-0000-0000-0000FD160000}"/>
    <cellStyle name="Normal 16 2 2 2 2 3 2" xfId="2955" xr:uid="{00000000-0005-0000-0000-0000FE160000}"/>
    <cellStyle name="Normal 16 2 2 2 2 3 3" xfId="4392" xr:uid="{00000000-0005-0000-0000-0000FF160000}"/>
    <cellStyle name="Normal 16 2 2 2 2 3 4" xfId="5829" xr:uid="{00000000-0005-0000-0000-000000170000}"/>
    <cellStyle name="Normal 16 2 2 2 2 3 5" xfId="7275" xr:uid="{00000000-0005-0000-0000-000001170000}"/>
    <cellStyle name="Normal 16 2 2 2 2 3 6" xfId="8716" xr:uid="{00000000-0005-0000-0000-000002170000}"/>
    <cellStyle name="Normal 16 2 2 2 2 3 7" xfId="10149" xr:uid="{00000000-0005-0000-0000-000003170000}"/>
    <cellStyle name="Normal 16 2 2 2 2 4" xfId="1954" xr:uid="{00000000-0005-0000-0000-000004170000}"/>
    <cellStyle name="Normal 16 2 2 2 2 5" xfId="3411" xr:uid="{00000000-0005-0000-0000-000005170000}"/>
    <cellStyle name="Normal 16 2 2 2 2 6" xfId="4848" xr:uid="{00000000-0005-0000-0000-000006170000}"/>
    <cellStyle name="Normal 16 2 2 2 2 7" xfId="6294" xr:uid="{00000000-0005-0000-0000-000007170000}"/>
    <cellStyle name="Normal 16 2 2 2 2 8" xfId="7732" xr:uid="{00000000-0005-0000-0000-000008170000}"/>
    <cellStyle name="Normal 16 2 2 2 2 9" xfId="9169" xr:uid="{00000000-0005-0000-0000-000009170000}"/>
    <cellStyle name="Normal 16 2 2 2 3" xfId="652" xr:uid="{00000000-0005-0000-0000-00000A170000}"/>
    <cellStyle name="Normal 16 2 2 2 3 2" xfId="1131" xr:uid="{00000000-0005-0000-0000-00000B170000}"/>
    <cellStyle name="Normal 16 2 2 2 3 2 2" xfId="2622" xr:uid="{00000000-0005-0000-0000-00000C170000}"/>
    <cellStyle name="Normal 16 2 2 2 3 2 3" xfId="4065" xr:uid="{00000000-0005-0000-0000-00000D170000}"/>
    <cellStyle name="Normal 16 2 2 2 3 2 4" xfId="5502" xr:uid="{00000000-0005-0000-0000-00000E170000}"/>
    <cellStyle name="Normal 16 2 2 2 3 2 5" xfId="6948" xr:uid="{00000000-0005-0000-0000-00000F170000}"/>
    <cellStyle name="Normal 16 2 2 2 3 2 6" xfId="8388" xr:uid="{00000000-0005-0000-0000-000010170000}"/>
    <cellStyle name="Normal 16 2 2 2 3 2 7" xfId="9822" xr:uid="{00000000-0005-0000-0000-000011170000}"/>
    <cellStyle name="Normal 16 2 2 2 3 3" xfId="1681" xr:uid="{00000000-0005-0000-0000-000012170000}"/>
    <cellStyle name="Normal 16 2 2 2 3 3 2" xfId="3152" xr:uid="{00000000-0005-0000-0000-000013170000}"/>
    <cellStyle name="Normal 16 2 2 2 3 3 3" xfId="4589" xr:uid="{00000000-0005-0000-0000-000014170000}"/>
    <cellStyle name="Normal 16 2 2 2 3 3 4" xfId="6026" xr:uid="{00000000-0005-0000-0000-000015170000}"/>
    <cellStyle name="Normal 16 2 2 2 3 3 5" xfId="7472" xr:uid="{00000000-0005-0000-0000-000016170000}"/>
    <cellStyle name="Normal 16 2 2 2 3 3 6" xfId="8913" xr:uid="{00000000-0005-0000-0000-000017170000}"/>
    <cellStyle name="Normal 16 2 2 2 3 3 7" xfId="10346" xr:uid="{00000000-0005-0000-0000-000018170000}"/>
    <cellStyle name="Normal 16 2 2 2 3 4" xfId="2151" xr:uid="{00000000-0005-0000-0000-000019170000}"/>
    <cellStyle name="Normal 16 2 2 2 3 5" xfId="3608" xr:uid="{00000000-0005-0000-0000-00001A170000}"/>
    <cellStyle name="Normal 16 2 2 2 3 6" xfId="5045" xr:uid="{00000000-0005-0000-0000-00001B170000}"/>
    <cellStyle name="Normal 16 2 2 2 3 7" xfId="6491" xr:uid="{00000000-0005-0000-0000-00001C170000}"/>
    <cellStyle name="Normal 16 2 2 2 3 8" xfId="7930" xr:uid="{00000000-0005-0000-0000-00001D170000}"/>
    <cellStyle name="Normal 16 2 2 2 3 9" xfId="9365" xr:uid="{00000000-0005-0000-0000-00001E170000}"/>
    <cellStyle name="Normal 16 2 2 2 4" xfId="794" xr:uid="{00000000-0005-0000-0000-00001F170000}"/>
    <cellStyle name="Normal 16 2 2 2 4 2" xfId="2285" xr:uid="{00000000-0005-0000-0000-000020170000}"/>
    <cellStyle name="Normal 16 2 2 2 4 3" xfId="3738" xr:uid="{00000000-0005-0000-0000-000021170000}"/>
    <cellStyle name="Normal 16 2 2 2 4 4" xfId="5175" xr:uid="{00000000-0005-0000-0000-000022170000}"/>
    <cellStyle name="Normal 16 2 2 2 4 5" xfId="6621" xr:uid="{00000000-0005-0000-0000-000023170000}"/>
    <cellStyle name="Normal 16 2 2 2 4 6" xfId="8061" xr:uid="{00000000-0005-0000-0000-000024170000}"/>
    <cellStyle name="Normal 16 2 2 2 4 7" xfId="9495" xr:uid="{00000000-0005-0000-0000-000025170000}"/>
    <cellStyle name="Normal 16 2 2 2 5" xfId="1350" xr:uid="{00000000-0005-0000-0000-000026170000}"/>
    <cellStyle name="Normal 16 2 2 2 5 2" xfId="2825" xr:uid="{00000000-0005-0000-0000-000027170000}"/>
    <cellStyle name="Normal 16 2 2 2 5 3" xfId="4262" xr:uid="{00000000-0005-0000-0000-000028170000}"/>
    <cellStyle name="Normal 16 2 2 2 5 4" xfId="5699" xr:uid="{00000000-0005-0000-0000-000029170000}"/>
    <cellStyle name="Normal 16 2 2 2 5 5" xfId="7145" xr:uid="{00000000-0005-0000-0000-00002A170000}"/>
    <cellStyle name="Normal 16 2 2 2 5 6" xfId="8586" xr:uid="{00000000-0005-0000-0000-00002B170000}"/>
    <cellStyle name="Normal 16 2 2 2 5 7" xfId="10019" xr:uid="{00000000-0005-0000-0000-00002C170000}"/>
    <cellStyle name="Normal 16 2 2 2 6" xfId="1824" xr:uid="{00000000-0005-0000-0000-00002D170000}"/>
    <cellStyle name="Normal 16 2 2 2 7" xfId="3281" xr:uid="{00000000-0005-0000-0000-00002E170000}"/>
    <cellStyle name="Normal 16 2 2 2 8" xfId="4718" xr:uid="{00000000-0005-0000-0000-00002F170000}"/>
    <cellStyle name="Normal 16 2 2 2 9" xfId="6164" xr:uid="{00000000-0005-0000-0000-000030170000}"/>
    <cellStyle name="Normal 16 2 2 3" xfId="379" xr:uid="{00000000-0005-0000-0000-000031170000}"/>
    <cellStyle name="Normal 16 2 2 3 2" xfId="861" xr:uid="{00000000-0005-0000-0000-000032170000}"/>
    <cellStyle name="Normal 16 2 2 3 2 2" xfId="2352" xr:uid="{00000000-0005-0000-0000-000033170000}"/>
    <cellStyle name="Normal 16 2 2 3 2 3" xfId="3803" xr:uid="{00000000-0005-0000-0000-000034170000}"/>
    <cellStyle name="Normal 16 2 2 3 2 4" xfId="5240" xr:uid="{00000000-0005-0000-0000-000035170000}"/>
    <cellStyle name="Normal 16 2 2 3 2 5" xfId="6686" xr:uid="{00000000-0005-0000-0000-000036170000}"/>
    <cellStyle name="Normal 16 2 2 3 2 6" xfId="8126" xr:uid="{00000000-0005-0000-0000-000037170000}"/>
    <cellStyle name="Normal 16 2 2 3 2 7" xfId="9560" xr:uid="{00000000-0005-0000-0000-000038170000}"/>
    <cellStyle name="Normal 16 2 2 3 3" xfId="1415" xr:uid="{00000000-0005-0000-0000-000039170000}"/>
    <cellStyle name="Normal 16 2 2 3 3 2" xfId="2890" xr:uid="{00000000-0005-0000-0000-00003A170000}"/>
    <cellStyle name="Normal 16 2 2 3 3 3" xfId="4327" xr:uid="{00000000-0005-0000-0000-00003B170000}"/>
    <cellStyle name="Normal 16 2 2 3 3 4" xfId="5764" xr:uid="{00000000-0005-0000-0000-00003C170000}"/>
    <cellStyle name="Normal 16 2 2 3 3 5" xfId="7210" xr:uid="{00000000-0005-0000-0000-00003D170000}"/>
    <cellStyle name="Normal 16 2 2 3 3 6" xfId="8651" xr:uid="{00000000-0005-0000-0000-00003E170000}"/>
    <cellStyle name="Normal 16 2 2 3 3 7" xfId="10084" xr:uid="{00000000-0005-0000-0000-00003F170000}"/>
    <cellStyle name="Normal 16 2 2 3 4" xfId="1889" xr:uid="{00000000-0005-0000-0000-000040170000}"/>
    <cellStyle name="Normal 16 2 2 3 5" xfId="3346" xr:uid="{00000000-0005-0000-0000-000041170000}"/>
    <cellStyle name="Normal 16 2 2 3 6" xfId="4783" xr:uid="{00000000-0005-0000-0000-000042170000}"/>
    <cellStyle name="Normal 16 2 2 3 7" xfId="6229" xr:uid="{00000000-0005-0000-0000-000043170000}"/>
    <cellStyle name="Normal 16 2 2 3 8" xfId="7667" xr:uid="{00000000-0005-0000-0000-000044170000}"/>
    <cellStyle name="Normal 16 2 2 3 9" xfId="9104" xr:uid="{00000000-0005-0000-0000-000045170000}"/>
    <cellStyle name="Normal 16 2 2 4" xfId="518" xr:uid="{00000000-0005-0000-0000-000046170000}"/>
    <cellStyle name="Normal 16 2 2 4 2" xfId="997" xr:uid="{00000000-0005-0000-0000-000047170000}"/>
    <cellStyle name="Normal 16 2 2 4 2 2" xfId="2488" xr:uid="{00000000-0005-0000-0000-000048170000}"/>
    <cellStyle name="Normal 16 2 2 4 2 3" xfId="3935" xr:uid="{00000000-0005-0000-0000-000049170000}"/>
    <cellStyle name="Normal 16 2 2 4 2 4" xfId="5372" xr:uid="{00000000-0005-0000-0000-00004A170000}"/>
    <cellStyle name="Normal 16 2 2 4 2 5" xfId="6818" xr:uid="{00000000-0005-0000-0000-00004B170000}"/>
    <cellStyle name="Normal 16 2 2 4 2 6" xfId="8258" xr:uid="{00000000-0005-0000-0000-00004C170000}"/>
    <cellStyle name="Normal 16 2 2 4 2 7" xfId="9692" xr:uid="{00000000-0005-0000-0000-00004D170000}"/>
    <cellStyle name="Normal 16 2 2 4 3" xfId="1549" xr:uid="{00000000-0005-0000-0000-00004E170000}"/>
    <cellStyle name="Normal 16 2 2 4 3 2" xfId="3022" xr:uid="{00000000-0005-0000-0000-00004F170000}"/>
    <cellStyle name="Normal 16 2 2 4 3 3" xfId="4459" xr:uid="{00000000-0005-0000-0000-000050170000}"/>
    <cellStyle name="Normal 16 2 2 4 3 4" xfId="5896" xr:uid="{00000000-0005-0000-0000-000051170000}"/>
    <cellStyle name="Normal 16 2 2 4 3 5" xfId="7342" xr:uid="{00000000-0005-0000-0000-000052170000}"/>
    <cellStyle name="Normal 16 2 2 4 3 6" xfId="8783" xr:uid="{00000000-0005-0000-0000-000053170000}"/>
    <cellStyle name="Normal 16 2 2 4 3 7" xfId="10216" xr:uid="{00000000-0005-0000-0000-000054170000}"/>
    <cellStyle name="Normal 16 2 2 4 4" xfId="2021" xr:uid="{00000000-0005-0000-0000-000055170000}"/>
    <cellStyle name="Normal 16 2 2 4 5" xfId="3478" xr:uid="{00000000-0005-0000-0000-000056170000}"/>
    <cellStyle name="Normal 16 2 2 4 6" xfId="4915" xr:uid="{00000000-0005-0000-0000-000057170000}"/>
    <cellStyle name="Normal 16 2 2 4 7" xfId="6361" xr:uid="{00000000-0005-0000-0000-000058170000}"/>
    <cellStyle name="Normal 16 2 2 4 8" xfId="7799" xr:uid="{00000000-0005-0000-0000-000059170000}"/>
    <cellStyle name="Normal 16 2 2 4 9" xfId="9236" xr:uid="{00000000-0005-0000-0000-00005A170000}"/>
    <cellStyle name="Normal 16 2 2 5" xfId="583" xr:uid="{00000000-0005-0000-0000-00005B170000}"/>
    <cellStyle name="Normal 16 2 2 5 2" xfId="1062" xr:uid="{00000000-0005-0000-0000-00005C170000}"/>
    <cellStyle name="Normal 16 2 2 5 2 2" xfId="2553" xr:uid="{00000000-0005-0000-0000-00005D170000}"/>
    <cellStyle name="Normal 16 2 2 5 2 3" xfId="4000" xr:uid="{00000000-0005-0000-0000-00005E170000}"/>
    <cellStyle name="Normal 16 2 2 5 2 4" xfId="5437" xr:uid="{00000000-0005-0000-0000-00005F170000}"/>
    <cellStyle name="Normal 16 2 2 5 2 5" xfId="6883" xr:uid="{00000000-0005-0000-0000-000060170000}"/>
    <cellStyle name="Normal 16 2 2 5 2 6" xfId="8323" xr:uid="{00000000-0005-0000-0000-000061170000}"/>
    <cellStyle name="Normal 16 2 2 5 2 7" xfId="9757" xr:uid="{00000000-0005-0000-0000-000062170000}"/>
    <cellStyle name="Normal 16 2 2 5 3" xfId="1614" xr:uid="{00000000-0005-0000-0000-000063170000}"/>
    <cellStyle name="Normal 16 2 2 5 3 2" xfId="3087" xr:uid="{00000000-0005-0000-0000-000064170000}"/>
    <cellStyle name="Normal 16 2 2 5 3 3" xfId="4524" xr:uid="{00000000-0005-0000-0000-000065170000}"/>
    <cellStyle name="Normal 16 2 2 5 3 4" xfId="5961" xr:uid="{00000000-0005-0000-0000-000066170000}"/>
    <cellStyle name="Normal 16 2 2 5 3 5" xfId="7407" xr:uid="{00000000-0005-0000-0000-000067170000}"/>
    <cellStyle name="Normal 16 2 2 5 3 6" xfId="8848" xr:uid="{00000000-0005-0000-0000-000068170000}"/>
    <cellStyle name="Normal 16 2 2 5 3 7" xfId="10281" xr:uid="{00000000-0005-0000-0000-000069170000}"/>
    <cellStyle name="Normal 16 2 2 5 4" xfId="2086" xr:uid="{00000000-0005-0000-0000-00006A170000}"/>
    <cellStyle name="Normal 16 2 2 5 5" xfId="3543" xr:uid="{00000000-0005-0000-0000-00006B170000}"/>
    <cellStyle name="Normal 16 2 2 5 6" xfId="4980" xr:uid="{00000000-0005-0000-0000-00006C170000}"/>
    <cellStyle name="Normal 16 2 2 5 7" xfId="6426" xr:uid="{00000000-0005-0000-0000-00006D170000}"/>
    <cellStyle name="Normal 16 2 2 5 8" xfId="7864" xr:uid="{00000000-0005-0000-0000-00006E170000}"/>
    <cellStyle name="Normal 16 2 2 5 9" xfId="9300" xr:uid="{00000000-0005-0000-0000-00006F170000}"/>
    <cellStyle name="Normal 16 2 2 6" xfId="725" xr:uid="{00000000-0005-0000-0000-000070170000}"/>
    <cellStyle name="Normal 16 2 2 6 2" xfId="2216" xr:uid="{00000000-0005-0000-0000-000071170000}"/>
    <cellStyle name="Normal 16 2 2 6 3" xfId="3673" xr:uid="{00000000-0005-0000-0000-000072170000}"/>
    <cellStyle name="Normal 16 2 2 6 4" xfId="5110" xr:uid="{00000000-0005-0000-0000-000073170000}"/>
    <cellStyle name="Normal 16 2 2 6 5" xfId="6556" xr:uid="{00000000-0005-0000-0000-000074170000}"/>
    <cellStyle name="Normal 16 2 2 6 6" xfId="7995" xr:uid="{00000000-0005-0000-0000-000075170000}"/>
    <cellStyle name="Normal 16 2 2 6 7" xfId="9430" xr:uid="{00000000-0005-0000-0000-000076170000}"/>
    <cellStyle name="Normal 16 2 2 7" xfId="1216" xr:uid="{00000000-0005-0000-0000-000077170000}"/>
    <cellStyle name="Normal 16 2 2 7 2" xfId="2695" xr:uid="{00000000-0005-0000-0000-000078170000}"/>
    <cellStyle name="Normal 16 2 2 7 3" xfId="4132" xr:uid="{00000000-0005-0000-0000-000079170000}"/>
    <cellStyle name="Normal 16 2 2 7 4" xfId="5569" xr:uid="{00000000-0005-0000-0000-00007A170000}"/>
    <cellStyle name="Normal 16 2 2 7 5" xfId="7015" xr:uid="{00000000-0005-0000-0000-00007B170000}"/>
    <cellStyle name="Normal 16 2 2 7 6" xfId="8456" xr:uid="{00000000-0005-0000-0000-00007C170000}"/>
    <cellStyle name="Normal 16 2 2 7 7" xfId="9889" xr:uid="{00000000-0005-0000-0000-00007D170000}"/>
    <cellStyle name="Normal 16 2 2 8" xfId="1281" xr:uid="{00000000-0005-0000-0000-00007E170000}"/>
    <cellStyle name="Normal 16 2 2 8 2" xfId="2760" xr:uid="{00000000-0005-0000-0000-00007F170000}"/>
    <cellStyle name="Normal 16 2 2 8 3" xfId="4197" xr:uid="{00000000-0005-0000-0000-000080170000}"/>
    <cellStyle name="Normal 16 2 2 8 4" xfId="5634" xr:uid="{00000000-0005-0000-0000-000081170000}"/>
    <cellStyle name="Normal 16 2 2 8 5" xfId="7080" xr:uid="{00000000-0005-0000-0000-000082170000}"/>
    <cellStyle name="Normal 16 2 2 8 6" xfId="8521" xr:uid="{00000000-0005-0000-0000-000083170000}"/>
    <cellStyle name="Normal 16 2 2 8 7" xfId="9954" xr:uid="{00000000-0005-0000-0000-000084170000}"/>
    <cellStyle name="Normal 16 2 2 9" xfId="1759" xr:uid="{00000000-0005-0000-0000-000085170000}"/>
    <cellStyle name="Normal 16 2 3" xfId="278" xr:uid="{00000000-0005-0000-0000-000086170000}"/>
    <cellStyle name="Normal 16 2 3 10" xfId="7570" xr:uid="{00000000-0005-0000-0000-000087170000}"/>
    <cellStyle name="Normal 16 2 3 11" xfId="9009" xr:uid="{00000000-0005-0000-0000-000088170000}"/>
    <cellStyle name="Normal 16 2 3 2" xfId="416" xr:uid="{00000000-0005-0000-0000-000089170000}"/>
    <cellStyle name="Normal 16 2 3 2 2" xfId="898" xr:uid="{00000000-0005-0000-0000-00008A170000}"/>
    <cellStyle name="Normal 16 2 3 2 2 2" xfId="2389" xr:uid="{00000000-0005-0000-0000-00008B170000}"/>
    <cellStyle name="Normal 16 2 3 2 2 3" xfId="3836" xr:uid="{00000000-0005-0000-0000-00008C170000}"/>
    <cellStyle name="Normal 16 2 3 2 2 4" xfId="5273" xr:uid="{00000000-0005-0000-0000-00008D170000}"/>
    <cellStyle name="Normal 16 2 3 2 2 5" xfId="6719" xr:uid="{00000000-0005-0000-0000-00008E170000}"/>
    <cellStyle name="Normal 16 2 3 2 2 6" xfId="8159" xr:uid="{00000000-0005-0000-0000-00008F170000}"/>
    <cellStyle name="Normal 16 2 3 2 2 7" xfId="9593" xr:uid="{00000000-0005-0000-0000-000090170000}"/>
    <cellStyle name="Normal 16 2 3 2 3" xfId="1450" xr:uid="{00000000-0005-0000-0000-000091170000}"/>
    <cellStyle name="Normal 16 2 3 2 3 2" xfId="2923" xr:uid="{00000000-0005-0000-0000-000092170000}"/>
    <cellStyle name="Normal 16 2 3 2 3 3" xfId="4360" xr:uid="{00000000-0005-0000-0000-000093170000}"/>
    <cellStyle name="Normal 16 2 3 2 3 4" xfId="5797" xr:uid="{00000000-0005-0000-0000-000094170000}"/>
    <cellStyle name="Normal 16 2 3 2 3 5" xfId="7243" xr:uid="{00000000-0005-0000-0000-000095170000}"/>
    <cellStyle name="Normal 16 2 3 2 3 6" xfId="8684" xr:uid="{00000000-0005-0000-0000-000096170000}"/>
    <cellStyle name="Normal 16 2 3 2 3 7" xfId="10117" xr:uid="{00000000-0005-0000-0000-000097170000}"/>
    <cellStyle name="Normal 16 2 3 2 4" xfId="1922" xr:uid="{00000000-0005-0000-0000-000098170000}"/>
    <cellStyle name="Normal 16 2 3 2 5" xfId="3379" xr:uid="{00000000-0005-0000-0000-000099170000}"/>
    <cellStyle name="Normal 16 2 3 2 6" xfId="4816" xr:uid="{00000000-0005-0000-0000-00009A170000}"/>
    <cellStyle name="Normal 16 2 3 2 7" xfId="6262" xr:uid="{00000000-0005-0000-0000-00009B170000}"/>
    <cellStyle name="Normal 16 2 3 2 8" xfId="7700" xr:uid="{00000000-0005-0000-0000-00009C170000}"/>
    <cellStyle name="Normal 16 2 3 2 9" xfId="9137" xr:uid="{00000000-0005-0000-0000-00009D170000}"/>
    <cellStyle name="Normal 16 2 3 3" xfId="620" xr:uid="{00000000-0005-0000-0000-00009E170000}"/>
    <cellStyle name="Normal 16 2 3 3 2" xfId="1099" xr:uid="{00000000-0005-0000-0000-00009F170000}"/>
    <cellStyle name="Normal 16 2 3 3 2 2" xfId="2590" xr:uid="{00000000-0005-0000-0000-0000A0170000}"/>
    <cellStyle name="Normal 16 2 3 3 2 3" xfId="4033" xr:uid="{00000000-0005-0000-0000-0000A1170000}"/>
    <cellStyle name="Normal 16 2 3 3 2 4" xfId="5470" xr:uid="{00000000-0005-0000-0000-0000A2170000}"/>
    <cellStyle name="Normal 16 2 3 3 2 5" xfId="6916" xr:uid="{00000000-0005-0000-0000-0000A3170000}"/>
    <cellStyle name="Normal 16 2 3 3 2 6" xfId="8356" xr:uid="{00000000-0005-0000-0000-0000A4170000}"/>
    <cellStyle name="Normal 16 2 3 3 2 7" xfId="9790" xr:uid="{00000000-0005-0000-0000-0000A5170000}"/>
    <cellStyle name="Normal 16 2 3 3 3" xfId="1649" xr:uid="{00000000-0005-0000-0000-0000A6170000}"/>
    <cellStyle name="Normal 16 2 3 3 3 2" xfId="3120" xr:uid="{00000000-0005-0000-0000-0000A7170000}"/>
    <cellStyle name="Normal 16 2 3 3 3 3" xfId="4557" xr:uid="{00000000-0005-0000-0000-0000A8170000}"/>
    <cellStyle name="Normal 16 2 3 3 3 4" xfId="5994" xr:uid="{00000000-0005-0000-0000-0000A9170000}"/>
    <cellStyle name="Normal 16 2 3 3 3 5" xfId="7440" xr:uid="{00000000-0005-0000-0000-0000AA170000}"/>
    <cellStyle name="Normal 16 2 3 3 3 6" xfId="8881" xr:uid="{00000000-0005-0000-0000-0000AB170000}"/>
    <cellStyle name="Normal 16 2 3 3 3 7" xfId="10314" xr:uid="{00000000-0005-0000-0000-0000AC170000}"/>
    <cellStyle name="Normal 16 2 3 3 4" xfId="2119" xr:uid="{00000000-0005-0000-0000-0000AD170000}"/>
    <cellStyle name="Normal 16 2 3 3 5" xfId="3576" xr:uid="{00000000-0005-0000-0000-0000AE170000}"/>
    <cellStyle name="Normal 16 2 3 3 6" xfId="5013" xr:uid="{00000000-0005-0000-0000-0000AF170000}"/>
    <cellStyle name="Normal 16 2 3 3 7" xfId="6459" xr:uid="{00000000-0005-0000-0000-0000B0170000}"/>
    <cellStyle name="Normal 16 2 3 3 8" xfId="7898" xr:uid="{00000000-0005-0000-0000-0000B1170000}"/>
    <cellStyle name="Normal 16 2 3 3 9" xfId="9333" xr:uid="{00000000-0005-0000-0000-0000B2170000}"/>
    <cellStyle name="Normal 16 2 3 4" xfId="762" xr:uid="{00000000-0005-0000-0000-0000B3170000}"/>
    <cellStyle name="Normal 16 2 3 4 2" xfId="2253" xr:uid="{00000000-0005-0000-0000-0000B4170000}"/>
    <cellStyle name="Normal 16 2 3 4 3" xfId="3706" xr:uid="{00000000-0005-0000-0000-0000B5170000}"/>
    <cellStyle name="Normal 16 2 3 4 4" xfId="5143" xr:uid="{00000000-0005-0000-0000-0000B6170000}"/>
    <cellStyle name="Normal 16 2 3 4 5" xfId="6589" xr:uid="{00000000-0005-0000-0000-0000B7170000}"/>
    <cellStyle name="Normal 16 2 3 4 6" xfId="8029" xr:uid="{00000000-0005-0000-0000-0000B8170000}"/>
    <cellStyle name="Normal 16 2 3 4 7" xfId="9463" xr:uid="{00000000-0005-0000-0000-0000B9170000}"/>
    <cellStyle name="Normal 16 2 3 5" xfId="1318" xr:uid="{00000000-0005-0000-0000-0000BA170000}"/>
    <cellStyle name="Normal 16 2 3 5 2" xfId="2793" xr:uid="{00000000-0005-0000-0000-0000BB170000}"/>
    <cellStyle name="Normal 16 2 3 5 3" xfId="4230" xr:uid="{00000000-0005-0000-0000-0000BC170000}"/>
    <cellStyle name="Normal 16 2 3 5 4" xfId="5667" xr:uid="{00000000-0005-0000-0000-0000BD170000}"/>
    <cellStyle name="Normal 16 2 3 5 5" xfId="7113" xr:uid="{00000000-0005-0000-0000-0000BE170000}"/>
    <cellStyle name="Normal 16 2 3 5 6" xfId="8554" xr:uid="{00000000-0005-0000-0000-0000BF170000}"/>
    <cellStyle name="Normal 16 2 3 5 7" xfId="9987" xr:uid="{00000000-0005-0000-0000-0000C0170000}"/>
    <cellStyle name="Normal 16 2 3 6" xfId="1792" xr:uid="{00000000-0005-0000-0000-0000C1170000}"/>
    <cellStyle name="Normal 16 2 3 7" xfId="3249" xr:uid="{00000000-0005-0000-0000-0000C2170000}"/>
    <cellStyle name="Normal 16 2 3 8" xfId="4686" xr:uid="{00000000-0005-0000-0000-0000C3170000}"/>
    <cellStyle name="Normal 16 2 3 9" xfId="6132" xr:uid="{00000000-0005-0000-0000-0000C4170000}"/>
    <cellStyle name="Normal 16 2 4" xfId="347" xr:uid="{00000000-0005-0000-0000-0000C5170000}"/>
    <cellStyle name="Normal 16 2 4 2" xfId="829" xr:uid="{00000000-0005-0000-0000-0000C6170000}"/>
    <cellStyle name="Normal 16 2 4 2 2" xfId="2320" xr:uid="{00000000-0005-0000-0000-0000C7170000}"/>
    <cellStyle name="Normal 16 2 4 2 3" xfId="3771" xr:uid="{00000000-0005-0000-0000-0000C8170000}"/>
    <cellStyle name="Normal 16 2 4 2 4" xfId="5208" xr:uid="{00000000-0005-0000-0000-0000C9170000}"/>
    <cellStyle name="Normal 16 2 4 2 5" xfId="6654" xr:uid="{00000000-0005-0000-0000-0000CA170000}"/>
    <cellStyle name="Normal 16 2 4 2 6" xfId="8094" xr:uid="{00000000-0005-0000-0000-0000CB170000}"/>
    <cellStyle name="Normal 16 2 4 2 7" xfId="9528" xr:uid="{00000000-0005-0000-0000-0000CC170000}"/>
    <cellStyle name="Normal 16 2 4 3" xfId="1383" xr:uid="{00000000-0005-0000-0000-0000CD170000}"/>
    <cellStyle name="Normal 16 2 4 3 2" xfId="2858" xr:uid="{00000000-0005-0000-0000-0000CE170000}"/>
    <cellStyle name="Normal 16 2 4 3 3" xfId="4295" xr:uid="{00000000-0005-0000-0000-0000CF170000}"/>
    <cellStyle name="Normal 16 2 4 3 4" xfId="5732" xr:uid="{00000000-0005-0000-0000-0000D0170000}"/>
    <cellStyle name="Normal 16 2 4 3 5" xfId="7178" xr:uid="{00000000-0005-0000-0000-0000D1170000}"/>
    <cellStyle name="Normal 16 2 4 3 6" xfId="8619" xr:uid="{00000000-0005-0000-0000-0000D2170000}"/>
    <cellStyle name="Normal 16 2 4 3 7" xfId="10052" xr:uid="{00000000-0005-0000-0000-0000D3170000}"/>
    <cellStyle name="Normal 16 2 4 4" xfId="1857" xr:uid="{00000000-0005-0000-0000-0000D4170000}"/>
    <cellStyle name="Normal 16 2 4 5" xfId="3314" xr:uid="{00000000-0005-0000-0000-0000D5170000}"/>
    <cellStyle name="Normal 16 2 4 6" xfId="4751" xr:uid="{00000000-0005-0000-0000-0000D6170000}"/>
    <cellStyle name="Normal 16 2 4 7" xfId="6197" xr:uid="{00000000-0005-0000-0000-0000D7170000}"/>
    <cellStyle name="Normal 16 2 4 8" xfId="7635" xr:uid="{00000000-0005-0000-0000-0000D8170000}"/>
    <cellStyle name="Normal 16 2 4 9" xfId="9072" xr:uid="{00000000-0005-0000-0000-0000D9170000}"/>
    <cellStyle name="Normal 16 2 5" xfId="486" xr:uid="{00000000-0005-0000-0000-0000DA170000}"/>
    <cellStyle name="Normal 16 2 5 2" xfId="965" xr:uid="{00000000-0005-0000-0000-0000DB170000}"/>
    <cellStyle name="Normal 16 2 5 2 2" xfId="2456" xr:uid="{00000000-0005-0000-0000-0000DC170000}"/>
    <cellStyle name="Normal 16 2 5 2 3" xfId="3903" xr:uid="{00000000-0005-0000-0000-0000DD170000}"/>
    <cellStyle name="Normal 16 2 5 2 4" xfId="5340" xr:uid="{00000000-0005-0000-0000-0000DE170000}"/>
    <cellStyle name="Normal 16 2 5 2 5" xfId="6786" xr:uid="{00000000-0005-0000-0000-0000DF170000}"/>
    <cellStyle name="Normal 16 2 5 2 6" xfId="8226" xr:uid="{00000000-0005-0000-0000-0000E0170000}"/>
    <cellStyle name="Normal 16 2 5 2 7" xfId="9660" xr:uid="{00000000-0005-0000-0000-0000E1170000}"/>
    <cellStyle name="Normal 16 2 5 3" xfId="1517" xr:uid="{00000000-0005-0000-0000-0000E2170000}"/>
    <cellStyle name="Normal 16 2 5 3 2" xfId="2990" xr:uid="{00000000-0005-0000-0000-0000E3170000}"/>
    <cellStyle name="Normal 16 2 5 3 3" xfId="4427" xr:uid="{00000000-0005-0000-0000-0000E4170000}"/>
    <cellStyle name="Normal 16 2 5 3 4" xfId="5864" xr:uid="{00000000-0005-0000-0000-0000E5170000}"/>
    <cellStyle name="Normal 16 2 5 3 5" xfId="7310" xr:uid="{00000000-0005-0000-0000-0000E6170000}"/>
    <cellStyle name="Normal 16 2 5 3 6" xfId="8751" xr:uid="{00000000-0005-0000-0000-0000E7170000}"/>
    <cellStyle name="Normal 16 2 5 3 7" xfId="10184" xr:uid="{00000000-0005-0000-0000-0000E8170000}"/>
    <cellStyle name="Normal 16 2 5 4" xfId="1989" xr:uid="{00000000-0005-0000-0000-0000E9170000}"/>
    <cellStyle name="Normal 16 2 5 5" xfId="3446" xr:uid="{00000000-0005-0000-0000-0000EA170000}"/>
    <cellStyle name="Normal 16 2 5 6" xfId="4883" xr:uid="{00000000-0005-0000-0000-0000EB170000}"/>
    <cellStyle name="Normal 16 2 5 7" xfId="6329" xr:uid="{00000000-0005-0000-0000-0000EC170000}"/>
    <cellStyle name="Normal 16 2 5 8" xfId="7767" xr:uid="{00000000-0005-0000-0000-0000ED170000}"/>
    <cellStyle name="Normal 16 2 5 9" xfId="9204" xr:uid="{00000000-0005-0000-0000-0000EE170000}"/>
    <cellStyle name="Normal 16 2 6" xfId="551" xr:uid="{00000000-0005-0000-0000-0000EF170000}"/>
    <cellStyle name="Normal 16 2 6 2" xfId="1030" xr:uid="{00000000-0005-0000-0000-0000F0170000}"/>
    <cellStyle name="Normal 16 2 6 2 2" xfId="2521" xr:uid="{00000000-0005-0000-0000-0000F1170000}"/>
    <cellStyle name="Normal 16 2 6 2 3" xfId="3968" xr:uid="{00000000-0005-0000-0000-0000F2170000}"/>
    <cellStyle name="Normal 16 2 6 2 4" xfId="5405" xr:uid="{00000000-0005-0000-0000-0000F3170000}"/>
    <cellStyle name="Normal 16 2 6 2 5" xfId="6851" xr:uid="{00000000-0005-0000-0000-0000F4170000}"/>
    <cellStyle name="Normal 16 2 6 2 6" xfId="8291" xr:uid="{00000000-0005-0000-0000-0000F5170000}"/>
    <cellStyle name="Normal 16 2 6 2 7" xfId="9725" xr:uid="{00000000-0005-0000-0000-0000F6170000}"/>
    <cellStyle name="Normal 16 2 6 3" xfId="1582" xr:uid="{00000000-0005-0000-0000-0000F7170000}"/>
    <cellStyle name="Normal 16 2 6 3 2" xfId="3055" xr:uid="{00000000-0005-0000-0000-0000F8170000}"/>
    <cellStyle name="Normal 16 2 6 3 3" xfId="4492" xr:uid="{00000000-0005-0000-0000-0000F9170000}"/>
    <cellStyle name="Normal 16 2 6 3 4" xfId="5929" xr:uid="{00000000-0005-0000-0000-0000FA170000}"/>
    <cellStyle name="Normal 16 2 6 3 5" xfId="7375" xr:uid="{00000000-0005-0000-0000-0000FB170000}"/>
    <cellStyle name="Normal 16 2 6 3 6" xfId="8816" xr:uid="{00000000-0005-0000-0000-0000FC170000}"/>
    <cellStyle name="Normal 16 2 6 3 7" xfId="10249" xr:uid="{00000000-0005-0000-0000-0000FD170000}"/>
    <cellStyle name="Normal 16 2 6 4" xfId="2054" xr:uid="{00000000-0005-0000-0000-0000FE170000}"/>
    <cellStyle name="Normal 16 2 6 5" xfId="3511" xr:uid="{00000000-0005-0000-0000-0000FF170000}"/>
    <cellStyle name="Normal 16 2 6 6" xfId="4948" xr:uid="{00000000-0005-0000-0000-000000180000}"/>
    <cellStyle name="Normal 16 2 6 7" xfId="6394" xr:uid="{00000000-0005-0000-0000-000001180000}"/>
    <cellStyle name="Normal 16 2 6 8" xfId="7832" xr:uid="{00000000-0005-0000-0000-000002180000}"/>
    <cellStyle name="Normal 16 2 6 9" xfId="9268" xr:uid="{00000000-0005-0000-0000-000003180000}"/>
    <cellStyle name="Normal 16 2 7" xfId="693" xr:uid="{00000000-0005-0000-0000-000004180000}"/>
    <cellStyle name="Normal 16 2 7 2" xfId="2184" xr:uid="{00000000-0005-0000-0000-000005180000}"/>
    <cellStyle name="Normal 16 2 7 3" xfId="3641" xr:uid="{00000000-0005-0000-0000-000006180000}"/>
    <cellStyle name="Normal 16 2 7 4" xfId="5078" xr:uid="{00000000-0005-0000-0000-000007180000}"/>
    <cellStyle name="Normal 16 2 7 5" xfId="6524" xr:uid="{00000000-0005-0000-0000-000008180000}"/>
    <cellStyle name="Normal 16 2 7 6" xfId="7963" xr:uid="{00000000-0005-0000-0000-000009180000}"/>
    <cellStyle name="Normal 16 2 7 7" xfId="9398" xr:uid="{00000000-0005-0000-0000-00000A180000}"/>
    <cellStyle name="Normal 16 2 8" xfId="1184" xr:uid="{00000000-0005-0000-0000-00000B180000}"/>
    <cellStyle name="Normal 16 2 8 2" xfId="2663" xr:uid="{00000000-0005-0000-0000-00000C180000}"/>
    <cellStyle name="Normal 16 2 8 3" xfId="4100" xr:uid="{00000000-0005-0000-0000-00000D180000}"/>
    <cellStyle name="Normal 16 2 8 4" xfId="5537" xr:uid="{00000000-0005-0000-0000-00000E180000}"/>
    <cellStyle name="Normal 16 2 8 5" xfId="6983" xr:uid="{00000000-0005-0000-0000-00000F180000}"/>
    <cellStyle name="Normal 16 2 8 6" xfId="8424" xr:uid="{00000000-0005-0000-0000-000010180000}"/>
    <cellStyle name="Normal 16 2 8 7" xfId="9857" xr:uid="{00000000-0005-0000-0000-000011180000}"/>
    <cellStyle name="Normal 16 2 9" xfId="1249" xr:uid="{00000000-0005-0000-0000-000012180000}"/>
    <cellStyle name="Normal 16 2 9 2" xfId="2728" xr:uid="{00000000-0005-0000-0000-000013180000}"/>
    <cellStyle name="Normal 16 2 9 3" xfId="4165" xr:uid="{00000000-0005-0000-0000-000014180000}"/>
    <cellStyle name="Normal 16 2 9 4" xfId="5602" xr:uid="{00000000-0005-0000-0000-000015180000}"/>
    <cellStyle name="Normal 16 2 9 5" xfId="7048" xr:uid="{00000000-0005-0000-0000-000016180000}"/>
    <cellStyle name="Normal 16 2 9 6" xfId="8489" xr:uid="{00000000-0005-0000-0000-000017180000}"/>
    <cellStyle name="Normal 16 2 9 7" xfId="9922" xr:uid="{00000000-0005-0000-0000-000018180000}"/>
    <cellStyle name="Normal 16 3" xfId="225" xr:uid="{00000000-0005-0000-0000-000019180000}"/>
    <cellStyle name="Normal 16 3 10" xfId="3200" xr:uid="{00000000-0005-0000-0000-00001A180000}"/>
    <cellStyle name="Normal 16 3 11" xfId="4637" xr:uid="{00000000-0005-0000-0000-00001B180000}"/>
    <cellStyle name="Normal 16 3 12" xfId="6083" xr:uid="{00000000-0005-0000-0000-00001C180000}"/>
    <cellStyle name="Normal 16 3 13" xfId="7521" xr:uid="{00000000-0005-0000-0000-00001D180000}"/>
    <cellStyle name="Normal 16 3 14" xfId="8961" xr:uid="{00000000-0005-0000-0000-00001E180000}"/>
    <cellStyle name="Normal 16 3 2" xfId="294" xr:uid="{00000000-0005-0000-0000-00001F180000}"/>
    <cellStyle name="Normal 16 3 2 10" xfId="7586" xr:uid="{00000000-0005-0000-0000-000020180000}"/>
    <cellStyle name="Normal 16 3 2 11" xfId="9025" xr:uid="{00000000-0005-0000-0000-000021180000}"/>
    <cellStyle name="Normal 16 3 2 2" xfId="432" xr:uid="{00000000-0005-0000-0000-000022180000}"/>
    <cellStyle name="Normal 16 3 2 2 2" xfId="914" xr:uid="{00000000-0005-0000-0000-000023180000}"/>
    <cellStyle name="Normal 16 3 2 2 2 2" xfId="2405" xr:uid="{00000000-0005-0000-0000-000024180000}"/>
    <cellStyle name="Normal 16 3 2 2 2 3" xfId="3852" xr:uid="{00000000-0005-0000-0000-000025180000}"/>
    <cellStyle name="Normal 16 3 2 2 2 4" xfId="5289" xr:uid="{00000000-0005-0000-0000-000026180000}"/>
    <cellStyle name="Normal 16 3 2 2 2 5" xfId="6735" xr:uid="{00000000-0005-0000-0000-000027180000}"/>
    <cellStyle name="Normal 16 3 2 2 2 6" xfId="8175" xr:uid="{00000000-0005-0000-0000-000028180000}"/>
    <cellStyle name="Normal 16 3 2 2 2 7" xfId="9609" xr:uid="{00000000-0005-0000-0000-000029180000}"/>
    <cellStyle name="Normal 16 3 2 2 3" xfId="1466" xr:uid="{00000000-0005-0000-0000-00002A180000}"/>
    <cellStyle name="Normal 16 3 2 2 3 2" xfId="2939" xr:uid="{00000000-0005-0000-0000-00002B180000}"/>
    <cellStyle name="Normal 16 3 2 2 3 3" xfId="4376" xr:uid="{00000000-0005-0000-0000-00002C180000}"/>
    <cellStyle name="Normal 16 3 2 2 3 4" xfId="5813" xr:uid="{00000000-0005-0000-0000-00002D180000}"/>
    <cellStyle name="Normal 16 3 2 2 3 5" xfId="7259" xr:uid="{00000000-0005-0000-0000-00002E180000}"/>
    <cellStyle name="Normal 16 3 2 2 3 6" xfId="8700" xr:uid="{00000000-0005-0000-0000-00002F180000}"/>
    <cellStyle name="Normal 16 3 2 2 3 7" xfId="10133" xr:uid="{00000000-0005-0000-0000-000030180000}"/>
    <cellStyle name="Normal 16 3 2 2 4" xfId="1938" xr:uid="{00000000-0005-0000-0000-000031180000}"/>
    <cellStyle name="Normal 16 3 2 2 5" xfId="3395" xr:uid="{00000000-0005-0000-0000-000032180000}"/>
    <cellStyle name="Normal 16 3 2 2 6" xfId="4832" xr:uid="{00000000-0005-0000-0000-000033180000}"/>
    <cellStyle name="Normal 16 3 2 2 7" xfId="6278" xr:uid="{00000000-0005-0000-0000-000034180000}"/>
    <cellStyle name="Normal 16 3 2 2 8" xfId="7716" xr:uid="{00000000-0005-0000-0000-000035180000}"/>
    <cellStyle name="Normal 16 3 2 2 9" xfId="9153" xr:uid="{00000000-0005-0000-0000-000036180000}"/>
    <cellStyle name="Normal 16 3 2 3" xfId="636" xr:uid="{00000000-0005-0000-0000-000037180000}"/>
    <cellStyle name="Normal 16 3 2 3 2" xfId="1115" xr:uid="{00000000-0005-0000-0000-000038180000}"/>
    <cellStyle name="Normal 16 3 2 3 2 2" xfId="2606" xr:uid="{00000000-0005-0000-0000-000039180000}"/>
    <cellStyle name="Normal 16 3 2 3 2 3" xfId="4049" xr:uid="{00000000-0005-0000-0000-00003A180000}"/>
    <cellStyle name="Normal 16 3 2 3 2 4" xfId="5486" xr:uid="{00000000-0005-0000-0000-00003B180000}"/>
    <cellStyle name="Normal 16 3 2 3 2 5" xfId="6932" xr:uid="{00000000-0005-0000-0000-00003C180000}"/>
    <cellStyle name="Normal 16 3 2 3 2 6" xfId="8372" xr:uid="{00000000-0005-0000-0000-00003D180000}"/>
    <cellStyle name="Normal 16 3 2 3 2 7" xfId="9806" xr:uid="{00000000-0005-0000-0000-00003E180000}"/>
    <cellStyle name="Normal 16 3 2 3 3" xfId="1665" xr:uid="{00000000-0005-0000-0000-00003F180000}"/>
    <cellStyle name="Normal 16 3 2 3 3 2" xfId="3136" xr:uid="{00000000-0005-0000-0000-000040180000}"/>
    <cellStyle name="Normal 16 3 2 3 3 3" xfId="4573" xr:uid="{00000000-0005-0000-0000-000041180000}"/>
    <cellStyle name="Normal 16 3 2 3 3 4" xfId="6010" xr:uid="{00000000-0005-0000-0000-000042180000}"/>
    <cellStyle name="Normal 16 3 2 3 3 5" xfId="7456" xr:uid="{00000000-0005-0000-0000-000043180000}"/>
    <cellStyle name="Normal 16 3 2 3 3 6" xfId="8897" xr:uid="{00000000-0005-0000-0000-000044180000}"/>
    <cellStyle name="Normal 16 3 2 3 3 7" xfId="10330" xr:uid="{00000000-0005-0000-0000-000045180000}"/>
    <cellStyle name="Normal 16 3 2 3 4" xfId="2135" xr:uid="{00000000-0005-0000-0000-000046180000}"/>
    <cellStyle name="Normal 16 3 2 3 5" xfId="3592" xr:uid="{00000000-0005-0000-0000-000047180000}"/>
    <cellStyle name="Normal 16 3 2 3 6" xfId="5029" xr:uid="{00000000-0005-0000-0000-000048180000}"/>
    <cellStyle name="Normal 16 3 2 3 7" xfId="6475" xr:uid="{00000000-0005-0000-0000-000049180000}"/>
    <cellStyle name="Normal 16 3 2 3 8" xfId="7914" xr:uid="{00000000-0005-0000-0000-00004A180000}"/>
    <cellStyle name="Normal 16 3 2 3 9" xfId="9349" xr:uid="{00000000-0005-0000-0000-00004B180000}"/>
    <cellStyle name="Normal 16 3 2 4" xfId="778" xr:uid="{00000000-0005-0000-0000-00004C180000}"/>
    <cellStyle name="Normal 16 3 2 4 2" xfId="2269" xr:uid="{00000000-0005-0000-0000-00004D180000}"/>
    <cellStyle name="Normal 16 3 2 4 3" xfId="3722" xr:uid="{00000000-0005-0000-0000-00004E180000}"/>
    <cellStyle name="Normal 16 3 2 4 4" xfId="5159" xr:uid="{00000000-0005-0000-0000-00004F180000}"/>
    <cellStyle name="Normal 16 3 2 4 5" xfId="6605" xr:uid="{00000000-0005-0000-0000-000050180000}"/>
    <cellStyle name="Normal 16 3 2 4 6" xfId="8045" xr:uid="{00000000-0005-0000-0000-000051180000}"/>
    <cellStyle name="Normal 16 3 2 4 7" xfId="9479" xr:uid="{00000000-0005-0000-0000-000052180000}"/>
    <cellStyle name="Normal 16 3 2 5" xfId="1334" xr:uid="{00000000-0005-0000-0000-000053180000}"/>
    <cellStyle name="Normal 16 3 2 5 2" xfId="2809" xr:uid="{00000000-0005-0000-0000-000054180000}"/>
    <cellStyle name="Normal 16 3 2 5 3" xfId="4246" xr:uid="{00000000-0005-0000-0000-000055180000}"/>
    <cellStyle name="Normal 16 3 2 5 4" xfId="5683" xr:uid="{00000000-0005-0000-0000-000056180000}"/>
    <cellStyle name="Normal 16 3 2 5 5" xfId="7129" xr:uid="{00000000-0005-0000-0000-000057180000}"/>
    <cellStyle name="Normal 16 3 2 5 6" xfId="8570" xr:uid="{00000000-0005-0000-0000-000058180000}"/>
    <cellStyle name="Normal 16 3 2 5 7" xfId="10003" xr:uid="{00000000-0005-0000-0000-000059180000}"/>
    <cellStyle name="Normal 16 3 2 6" xfId="1808" xr:uid="{00000000-0005-0000-0000-00005A180000}"/>
    <cellStyle name="Normal 16 3 2 7" xfId="3265" xr:uid="{00000000-0005-0000-0000-00005B180000}"/>
    <cellStyle name="Normal 16 3 2 8" xfId="4702" xr:uid="{00000000-0005-0000-0000-00005C180000}"/>
    <cellStyle name="Normal 16 3 2 9" xfId="6148" xr:uid="{00000000-0005-0000-0000-00005D180000}"/>
    <cellStyle name="Normal 16 3 3" xfId="363" xr:uid="{00000000-0005-0000-0000-00005E180000}"/>
    <cellStyle name="Normal 16 3 3 2" xfId="845" xr:uid="{00000000-0005-0000-0000-00005F180000}"/>
    <cellStyle name="Normal 16 3 3 2 2" xfId="2336" xr:uid="{00000000-0005-0000-0000-000060180000}"/>
    <cellStyle name="Normal 16 3 3 2 3" xfId="3787" xr:uid="{00000000-0005-0000-0000-000061180000}"/>
    <cellStyle name="Normal 16 3 3 2 4" xfId="5224" xr:uid="{00000000-0005-0000-0000-000062180000}"/>
    <cellStyle name="Normal 16 3 3 2 5" xfId="6670" xr:uid="{00000000-0005-0000-0000-000063180000}"/>
    <cellStyle name="Normal 16 3 3 2 6" xfId="8110" xr:uid="{00000000-0005-0000-0000-000064180000}"/>
    <cellStyle name="Normal 16 3 3 2 7" xfId="9544" xr:uid="{00000000-0005-0000-0000-000065180000}"/>
    <cellStyle name="Normal 16 3 3 3" xfId="1399" xr:uid="{00000000-0005-0000-0000-000066180000}"/>
    <cellStyle name="Normal 16 3 3 3 2" xfId="2874" xr:uid="{00000000-0005-0000-0000-000067180000}"/>
    <cellStyle name="Normal 16 3 3 3 3" xfId="4311" xr:uid="{00000000-0005-0000-0000-000068180000}"/>
    <cellStyle name="Normal 16 3 3 3 4" xfId="5748" xr:uid="{00000000-0005-0000-0000-000069180000}"/>
    <cellStyle name="Normal 16 3 3 3 5" xfId="7194" xr:uid="{00000000-0005-0000-0000-00006A180000}"/>
    <cellStyle name="Normal 16 3 3 3 6" xfId="8635" xr:uid="{00000000-0005-0000-0000-00006B180000}"/>
    <cellStyle name="Normal 16 3 3 3 7" xfId="10068" xr:uid="{00000000-0005-0000-0000-00006C180000}"/>
    <cellStyle name="Normal 16 3 3 4" xfId="1873" xr:uid="{00000000-0005-0000-0000-00006D180000}"/>
    <cellStyle name="Normal 16 3 3 5" xfId="3330" xr:uid="{00000000-0005-0000-0000-00006E180000}"/>
    <cellStyle name="Normal 16 3 3 6" xfId="4767" xr:uid="{00000000-0005-0000-0000-00006F180000}"/>
    <cellStyle name="Normal 16 3 3 7" xfId="6213" xr:uid="{00000000-0005-0000-0000-000070180000}"/>
    <cellStyle name="Normal 16 3 3 8" xfId="7651" xr:uid="{00000000-0005-0000-0000-000071180000}"/>
    <cellStyle name="Normal 16 3 3 9" xfId="9088" xr:uid="{00000000-0005-0000-0000-000072180000}"/>
    <cellStyle name="Normal 16 3 4" xfId="502" xr:uid="{00000000-0005-0000-0000-000073180000}"/>
    <cellStyle name="Normal 16 3 4 2" xfId="981" xr:uid="{00000000-0005-0000-0000-000074180000}"/>
    <cellStyle name="Normal 16 3 4 2 2" xfId="2472" xr:uid="{00000000-0005-0000-0000-000075180000}"/>
    <cellStyle name="Normal 16 3 4 2 3" xfId="3919" xr:uid="{00000000-0005-0000-0000-000076180000}"/>
    <cellStyle name="Normal 16 3 4 2 4" xfId="5356" xr:uid="{00000000-0005-0000-0000-000077180000}"/>
    <cellStyle name="Normal 16 3 4 2 5" xfId="6802" xr:uid="{00000000-0005-0000-0000-000078180000}"/>
    <cellStyle name="Normal 16 3 4 2 6" xfId="8242" xr:uid="{00000000-0005-0000-0000-000079180000}"/>
    <cellStyle name="Normal 16 3 4 2 7" xfId="9676" xr:uid="{00000000-0005-0000-0000-00007A180000}"/>
    <cellStyle name="Normal 16 3 4 3" xfId="1533" xr:uid="{00000000-0005-0000-0000-00007B180000}"/>
    <cellStyle name="Normal 16 3 4 3 2" xfId="3006" xr:uid="{00000000-0005-0000-0000-00007C180000}"/>
    <cellStyle name="Normal 16 3 4 3 3" xfId="4443" xr:uid="{00000000-0005-0000-0000-00007D180000}"/>
    <cellStyle name="Normal 16 3 4 3 4" xfId="5880" xr:uid="{00000000-0005-0000-0000-00007E180000}"/>
    <cellStyle name="Normal 16 3 4 3 5" xfId="7326" xr:uid="{00000000-0005-0000-0000-00007F180000}"/>
    <cellStyle name="Normal 16 3 4 3 6" xfId="8767" xr:uid="{00000000-0005-0000-0000-000080180000}"/>
    <cellStyle name="Normal 16 3 4 3 7" xfId="10200" xr:uid="{00000000-0005-0000-0000-000081180000}"/>
    <cellStyle name="Normal 16 3 4 4" xfId="2005" xr:uid="{00000000-0005-0000-0000-000082180000}"/>
    <cellStyle name="Normal 16 3 4 5" xfId="3462" xr:uid="{00000000-0005-0000-0000-000083180000}"/>
    <cellStyle name="Normal 16 3 4 6" xfId="4899" xr:uid="{00000000-0005-0000-0000-000084180000}"/>
    <cellStyle name="Normal 16 3 4 7" xfId="6345" xr:uid="{00000000-0005-0000-0000-000085180000}"/>
    <cellStyle name="Normal 16 3 4 8" xfId="7783" xr:uid="{00000000-0005-0000-0000-000086180000}"/>
    <cellStyle name="Normal 16 3 4 9" xfId="9220" xr:uid="{00000000-0005-0000-0000-000087180000}"/>
    <cellStyle name="Normal 16 3 5" xfId="567" xr:uid="{00000000-0005-0000-0000-000088180000}"/>
    <cellStyle name="Normal 16 3 5 2" xfId="1046" xr:uid="{00000000-0005-0000-0000-000089180000}"/>
    <cellStyle name="Normal 16 3 5 2 2" xfId="2537" xr:uid="{00000000-0005-0000-0000-00008A180000}"/>
    <cellStyle name="Normal 16 3 5 2 3" xfId="3984" xr:uid="{00000000-0005-0000-0000-00008B180000}"/>
    <cellStyle name="Normal 16 3 5 2 4" xfId="5421" xr:uid="{00000000-0005-0000-0000-00008C180000}"/>
    <cellStyle name="Normal 16 3 5 2 5" xfId="6867" xr:uid="{00000000-0005-0000-0000-00008D180000}"/>
    <cellStyle name="Normal 16 3 5 2 6" xfId="8307" xr:uid="{00000000-0005-0000-0000-00008E180000}"/>
    <cellStyle name="Normal 16 3 5 2 7" xfId="9741" xr:uid="{00000000-0005-0000-0000-00008F180000}"/>
    <cellStyle name="Normal 16 3 5 3" xfId="1598" xr:uid="{00000000-0005-0000-0000-000090180000}"/>
    <cellStyle name="Normal 16 3 5 3 2" xfId="3071" xr:uid="{00000000-0005-0000-0000-000091180000}"/>
    <cellStyle name="Normal 16 3 5 3 3" xfId="4508" xr:uid="{00000000-0005-0000-0000-000092180000}"/>
    <cellStyle name="Normal 16 3 5 3 4" xfId="5945" xr:uid="{00000000-0005-0000-0000-000093180000}"/>
    <cellStyle name="Normal 16 3 5 3 5" xfId="7391" xr:uid="{00000000-0005-0000-0000-000094180000}"/>
    <cellStyle name="Normal 16 3 5 3 6" xfId="8832" xr:uid="{00000000-0005-0000-0000-000095180000}"/>
    <cellStyle name="Normal 16 3 5 3 7" xfId="10265" xr:uid="{00000000-0005-0000-0000-000096180000}"/>
    <cellStyle name="Normal 16 3 5 4" xfId="2070" xr:uid="{00000000-0005-0000-0000-000097180000}"/>
    <cellStyle name="Normal 16 3 5 5" xfId="3527" xr:uid="{00000000-0005-0000-0000-000098180000}"/>
    <cellStyle name="Normal 16 3 5 6" xfId="4964" xr:uid="{00000000-0005-0000-0000-000099180000}"/>
    <cellStyle name="Normal 16 3 5 7" xfId="6410" xr:uid="{00000000-0005-0000-0000-00009A180000}"/>
    <cellStyle name="Normal 16 3 5 8" xfId="7848" xr:uid="{00000000-0005-0000-0000-00009B180000}"/>
    <cellStyle name="Normal 16 3 5 9" xfId="9284" xr:uid="{00000000-0005-0000-0000-00009C180000}"/>
    <cellStyle name="Normal 16 3 6" xfId="709" xr:uid="{00000000-0005-0000-0000-00009D180000}"/>
    <cellStyle name="Normal 16 3 6 2" xfId="2200" xr:uid="{00000000-0005-0000-0000-00009E180000}"/>
    <cellStyle name="Normal 16 3 6 3" xfId="3657" xr:uid="{00000000-0005-0000-0000-00009F180000}"/>
    <cellStyle name="Normal 16 3 6 4" xfId="5094" xr:uid="{00000000-0005-0000-0000-0000A0180000}"/>
    <cellStyle name="Normal 16 3 6 5" xfId="6540" xr:uid="{00000000-0005-0000-0000-0000A1180000}"/>
    <cellStyle name="Normal 16 3 6 6" xfId="7979" xr:uid="{00000000-0005-0000-0000-0000A2180000}"/>
    <cellStyle name="Normal 16 3 6 7" xfId="9414" xr:uid="{00000000-0005-0000-0000-0000A3180000}"/>
    <cellStyle name="Normal 16 3 7" xfId="1200" xr:uid="{00000000-0005-0000-0000-0000A4180000}"/>
    <cellStyle name="Normal 16 3 7 2" xfId="2679" xr:uid="{00000000-0005-0000-0000-0000A5180000}"/>
    <cellStyle name="Normal 16 3 7 3" xfId="4116" xr:uid="{00000000-0005-0000-0000-0000A6180000}"/>
    <cellStyle name="Normal 16 3 7 4" xfId="5553" xr:uid="{00000000-0005-0000-0000-0000A7180000}"/>
    <cellStyle name="Normal 16 3 7 5" xfId="6999" xr:uid="{00000000-0005-0000-0000-0000A8180000}"/>
    <cellStyle name="Normal 16 3 7 6" xfId="8440" xr:uid="{00000000-0005-0000-0000-0000A9180000}"/>
    <cellStyle name="Normal 16 3 7 7" xfId="9873" xr:uid="{00000000-0005-0000-0000-0000AA180000}"/>
    <cellStyle name="Normal 16 3 8" xfId="1265" xr:uid="{00000000-0005-0000-0000-0000AB180000}"/>
    <cellStyle name="Normal 16 3 8 2" xfId="2744" xr:uid="{00000000-0005-0000-0000-0000AC180000}"/>
    <cellStyle name="Normal 16 3 8 3" xfId="4181" xr:uid="{00000000-0005-0000-0000-0000AD180000}"/>
    <cellStyle name="Normal 16 3 8 4" xfId="5618" xr:uid="{00000000-0005-0000-0000-0000AE180000}"/>
    <cellStyle name="Normal 16 3 8 5" xfId="7064" xr:uid="{00000000-0005-0000-0000-0000AF180000}"/>
    <cellStyle name="Normal 16 3 8 6" xfId="8505" xr:uid="{00000000-0005-0000-0000-0000B0180000}"/>
    <cellStyle name="Normal 16 3 8 7" xfId="9938" xr:uid="{00000000-0005-0000-0000-0000B1180000}"/>
    <cellStyle name="Normal 16 3 9" xfId="1743" xr:uid="{00000000-0005-0000-0000-0000B2180000}"/>
    <cellStyle name="Normal 16 4" xfId="263" xr:uid="{00000000-0005-0000-0000-0000B3180000}"/>
    <cellStyle name="Normal 16 4 10" xfId="7552" xr:uid="{00000000-0005-0000-0000-0000B4180000}"/>
    <cellStyle name="Normal 16 4 11" xfId="8991" xr:uid="{00000000-0005-0000-0000-0000B5180000}"/>
    <cellStyle name="Normal 16 4 2" xfId="398" xr:uid="{00000000-0005-0000-0000-0000B6180000}"/>
    <cellStyle name="Normal 16 4 2 2" xfId="880" xr:uid="{00000000-0005-0000-0000-0000B7180000}"/>
    <cellStyle name="Normal 16 4 2 2 2" xfId="2371" xr:uid="{00000000-0005-0000-0000-0000B8180000}"/>
    <cellStyle name="Normal 16 4 2 2 3" xfId="3818" xr:uid="{00000000-0005-0000-0000-0000B9180000}"/>
    <cellStyle name="Normal 16 4 2 2 4" xfId="5255" xr:uid="{00000000-0005-0000-0000-0000BA180000}"/>
    <cellStyle name="Normal 16 4 2 2 5" xfId="6701" xr:uid="{00000000-0005-0000-0000-0000BB180000}"/>
    <cellStyle name="Normal 16 4 2 2 6" xfId="8141" xr:uid="{00000000-0005-0000-0000-0000BC180000}"/>
    <cellStyle name="Normal 16 4 2 2 7" xfId="9575" xr:uid="{00000000-0005-0000-0000-0000BD180000}"/>
    <cellStyle name="Normal 16 4 2 3" xfId="1432" xr:uid="{00000000-0005-0000-0000-0000BE180000}"/>
    <cellStyle name="Normal 16 4 2 3 2" xfId="2905" xr:uid="{00000000-0005-0000-0000-0000BF180000}"/>
    <cellStyle name="Normal 16 4 2 3 3" xfId="4342" xr:uid="{00000000-0005-0000-0000-0000C0180000}"/>
    <cellStyle name="Normal 16 4 2 3 4" xfId="5779" xr:uid="{00000000-0005-0000-0000-0000C1180000}"/>
    <cellStyle name="Normal 16 4 2 3 5" xfId="7225" xr:uid="{00000000-0005-0000-0000-0000C2180000}"/>
    <cellStyle name="Normal 16 4 2 3 6" xfId="8666" xr:uid="{00000000-0005-0000-0000-0000C3180000}"/>
    <cellStyle name="Normal 16 4 2 3 7" xfId="10099" xr:uid="{00000000-0005-0000-0000-0000C4180000}"/>
    <cellStyle name="Normal 16 4 2 4" xfId="1904" xr:uid="{00000000-0005-0000-0000-0000C5180000}"/>
    <cellStyle name="Normal 16 4 2 5" xfId="3361" xr:uid="{00000000-0005-0000-0000-0000C6180000}"/>
    <cellStyle name="Normal 16 4 2 6" xfId="4798" xr:uid="{00000000-0005-0000-0000-0000C7180000}"/>
    <cellStyle name="Normal 16 4 2 7" xfId="6244" xr:uid="{00000000-0005-0000-0000-0000C8180000}"/>
    <cellStyle name="Normal 16 4 2 8" xfId="7682" xr:uid="{00000000-0005-0000-0000-0000C9180000}"/>
    <cellStyle name="Normal 16 4 2 9" xfId="9119" xr:uid="{00000000-0005-0000-0000-0000CA180000}"/>
    <cellStyle name="Normal 16 4 3" xfId="602" xr:uid="{00000000-0005-0000-0000-0000CB180000}"/>
    <cellStyle name="Normal 16 4 3 2" xfId="1081" xr:uid="{00000000-0005-0000-0000-0000CC180000}"/>
    <cellStyle name="Normal 16 4 3 2 2" xfId="2572" xr:uid="{00000000-0005-0000-0000-0000CD180000}"/>
    <cellStyle name="Normal 16 4 3 2 3" xfId="4015" xr:uid="{00000000-0005-0000-0000-0000CE180000}"/>
    <cellStyle name="Normal 16 4 3 2 4" xfId="5452" xr:uid="{00000000-0005-0000-0000-0000CF180000}"/>
    <cellStyle name="Normal 16 4 3 2 5" xfId="6898" xr:uid="{00000000-0005-0000-0000-0000D0180000}"/>
    <cellStyle name="Normal 16 4 3 2 6" xfId="8338" xr:uid="{00000000-0005-0000-0000-0000D1180000}"/>
    <cellStyle name="Normal 16 4 3 2 7" xfId="9772" xr:uid="{00000000-0005-0000-0000-0000D2180000}"/>
    <cellStyle name="Normal 16 4 3 3" xfId="1631" xr:uid="{00000000-0005-0000-0000-0000D3180000}"/>
    <cellStyle name="Normal 16 4 3 3 2" xfId="3102" xr:uid="{00000000-0005-0000-0000-0000D4180000}"/>
    <cellStyle name="Normal 16 4 3 3 3" xfId="4539" xr:uid="{00000000-0005-0000-0000-0000D5180000}"/>
    <cellStyle name="Normal 16 4 3 3 4" xfId="5976" xr:uid="{00000000-0005-0000-0000-0000D6180000}"/>
    <cellStyle name="Normal 16 4 3 3 5" xfId="7422" xr:uid="{00000000-0005-0000-0000-0000D7180000}"/>
    <cellStyle name="Normal 16 4 3 3 6" xfId="8863" xr:uid="{00000000-0005-0000-0000-0000D8180000}"/>
    <cellStyle name="Normal 16 4 3 3 7" xfId="10296" xr:uid="{00000000-0005-0000-0000-0000D9180000}"/>
    <cellStyle name="Normal 16 4 3 4" xfId="2101" xr:uid="{00000000-0005-0000-0000-0000DA180000}"/>
    <cellStyle name="Normal 16 4 3 5" xfId="3558" xr:uid="{00000000-0005-0000-0000-0000DB180000}"/>
    <cellStyle name="Normal 16 4 3 6" xfId="4995" xr:uid="{00000000-0005-0000-0000-0000DC180000}"/>
    <cellStyle name="Normal 16 4 3 7" xfId="6441" xr:uid="{00000000-0005-0000-0000-0000DD180000}"/>
    <cellStyle name="Normal 16 4 3 8" xfId="7880" xr:uid="{00000000-0005-0000-0000-0000DE180000}"/>
    <cellStyle name="Normal 16 4 3 9" xfId="9315" xr:uid="{00000000-0005-0000-0000-0000DF180000}"/>
    <cellStyle name="Normal 16 4 4" xfId="744" xr:uid="{00000000-0005-0000-0000-0000E0180000}"/>
    <cellStyle name="Normal 16 4 4 2" xfId="2235" xr:uid="{00000000-0005-0000-0000-0000E1180000}"/>
    <cellStyle name="Normal 16 4 4 3" xfId="3688" xr:uid="{00000000-0005-0000-0000-0000E2180000}"/>
    <cellStyle name="Normal 16 4 4 4" xfId="5125" xr:uid="{00000000-0005-0000-0000-0000E3180000}"/>
    <cellStyle name="Normal 16 4 4 5" xfId="6571" xr:uid="{00000000-0005-0000-0000-0000E4180000}"/>
    <cellStyle name="Normal 16 4 4 6" xfId="8011" xr:uid="{00000000-0005-0000-0000-0000E5180000}"/>
    <cellStyle name="Normal 16 4 4 7" xfId="9445" xr:uid="{00000000-0005-0000-0000-0000E6180000}"/>
    <cellStyle name="Normal 16 4 5" xfId="1300" xr:uid="{00000000-0005-0000-0000-0000E7180000}"/>
    <cellStyle name="Normal 16 4 5 2" xfId="2775" xr:uid="{00000000-0005-0000-0000-0000E8180000}"/>
    <cellStyle name="Normal 16 4 5 3" xfId="4212" xr:uid="{00000000-0005-0000-0000-0000E9180000}"/>
    <cellStyle name="Normal 16 4 5 4" xfId="5649" xr:uid="{00000000-0005-0000-0000-0000EA180000}"/>
    <cellStyle name="Normal 16 4 5 5" xfId="7095" xr:uid="{00000000-0005-0000-0000-0000EB180000}"/>
    <cellStyle name="Normal 16 4 5 6" xfId="8536" xr:uid="{00000000-0005-0000-0000-0000EC180000}"/>
    <cellStyle name="Normal 16 4 5 7" xfId="9969" xr:uid="{00000000-0005-0000-0000-0000ED180000}"/>
    <cellStyle name="Normal 16 4 6" xfId="1774" xr:uid="{00000000-0005-0000-0000-0000EE180000}"/>
    <cellStyle name="Normal 16 4 7" xfId="3231" xr:uid="{00000000-0005-0000-0000-0000EF180000}"/>
    <cellStyle name="Normal 16 4 8" xfId="4668" xr:uid="{00000000-0005-0000-0000-0000F0180000}"/>
    <cellStyle name="Normal 16 4 9" xfId="6114" xr:uid="{00000000-0005-0000-0000-0000F1180000}"/>
    <cellStyle name="Normal 16 5" xfId="329" xr:uid="{00000000-0005-0000-0000-0000F2180000}"/>
    <cellStyle name="Normal 16 5 2" xfId="811" xr:uid="{00000000-0005-0000-0000-0000F3180000}"/>
    <cellStyle name="Normal 16 5 2 2" xfId="2302" xr:uid="{00000000-0005-0000-0000-0000F4180000}"/>
    <cellStyle name="Normal 16 5 2 3" xfId="3753" xr:uid="{00000000-0005-0000-0000-0000F5180000}"/>
    <cellStyle name="Normal 16 5 2 4" xfId="5190" xr:uid="{00000000-0005-0000-0000-0000F6180000}"/>
    <cellStyle name="Normal 16 5 2 5" xfId="6636" xr:uid="{00000000-0005-0000-0000-0000F7180000}"/>
    <cellStyle name="Normal 16 5 2 6" xfId="8076" xr:uid="{00000000-0005-0000-0000-0000F8180000}"/>
    <cellStyle name="Normal 16 5 2 7" xfId="9510" xr:uid="{00000000-0005-0000-0000-0000F9180000}"/>
    <cellStyle name="Normal 16 5 3" xfId="1365" xr:uid="{00000000-0005-0000-0000-0000FA180000}"/>
    <cellStyle name="Normal 16 5 3 2" xfId="2840" xr:uid="{00000000-0005-0000-0000-0000FB180000}"/>
    <cellStyle name="Normal 16 5 3 3" xfId="4277" xr:uid="{00000000-0005-0000-0000-0000FC180000}"/>
    <cellStyle name="Normal 16 5 3 4" xfId="5714" xr:uid="{00000000-0005-0000-0000-0000FD180000}"/>
    <cellStyle name="Normal 16 5 3 5" xfId="7160" xr:uid="{00000000-0005-0000-0000-0000FE180000}"/>
    <cellStyle name="Normal 16 5 3 6" xfId="8601" xr:uid="{00000000-0005-0000-0000-0000FF180000}"/>
    <cellStyle name="Normal 16 5 3 7" xfId="10034" xr:uid="{00000000-0005-0000-0000-000000190000}"/>
    <cellStyle name="Normal 16 5 4" xfId="1839" xr:uid="{00000000-0005-0000-0000-000001190000}"/>
    <cellStyle name="Normal 16 5 5" xfId="3296" xr:uid="{00000000-0005-0000-0000-000002190000}"/>
    <cellStyle name="Normal 16 5 6" xfId="4733" xr:uid="{00000000-0005-0000-0000-000003190000}"/>
    <cellStyle name="Normal 16 5 7" xfId="6179" xr:uid="{00000000-0005-0000-0000-000004190000}"/>
    <cellStyle name="Normal 16 5 8" xfId="7617" xr:uid="{00000000-0005-0000-0000-000005190000}"/>
    <cellStyle name="Normal 16 5 9" xfId="9055" xr:uid="{00000000-0005-0000-0000-000006190000}"/>
    <cellStyle name="Normal 16 6" xfId="468" xr:uid="{00000000-0005-0000-0000-000007190000}"/>
    <cellStyle name="Normal 16 6 2" xfId="947" xr:uid="{00000000-0005-0000-0000-000008190000}"/>
    <cellStyle name="Normal 16 6 2 2" xfId="2438" xr:uid="{00000000-0005-0000-0000-000009190000}"/>
    <cellStyle name="Normal 16 6 2 3" xfId="3885" xr:uid="{00000000-0005-0000-0000-00000A190000}"/>
    <cellStyle name="Normal 16 6 2 4" xfId="5322" xr:uid="{00000000-0005-0000-0000-00000B190000}"/>
    <cellStyle name="Normal 16 6 2 5" xfId="6768" xr:uid="{00000000-0005-0000-0000-00000C190000}"/>
    <cellStyle name="Normal 16 6 2 6" xfId="8208" xr:uid="{00000000-0005-0000-0000-00000D190000}"/>
    <cellStyle name="Normal 16 6 2 7" xfId="9642" xr:uid="{00000000-0005-0000-0000-00000E190000}"/>
    <cellStyle name="Normal 16 6 3" xfId="1499" xr:uid="{00000000-0005-0000-0000-00000F190000}"/>
    <cellStyle name="Normal 16 6 3 2" xfId="2972" xr:uid="{00000000-0005-0000-0000-000010190000}"/>
    <cellStyle name="Normal 16 6 3 3" xfId="4409" xr:uid="{00000000-0005-0000-0000-000011190000}"/>
    <cellStyle name="Normal 16 6 3 4" xfId="5846" xr:uid="{00000000-0005-0000-0000-000012190000}"/>
    <cellStyle name="Normal 16 6 3 5" xfId="7292" xr:uid="{00000000-0005-0000-0000-000013190000}"/>
    <cellStyle name="Normal 16 6 3 6" xfId="8733" xr:uid="{00000000-0005-0000-0000-000014190000}"/>
    <cellStyle name="Normal 16 6 3 7" xfId="10166" xr:uid="{00000000-0005-0000-0000-000015190000}"/>
    <cellStyle name="Normal 16 6 4" xfId="1971" xr:uid="{00000000-0005-0000-0000-000016190000}"/>
    <cellStyle name="Normal 16 6 5" xfId="3428" xr:uid="{00000000-0005-0000-0000-000017190000}"/>
    <cellStyle name="Normal 16 6 6" xfId="4865" xr:uid="{00000000-0005-0000-0000-000018190000}"/>
    <cellStyle name="Normal 16 6 7" xfId="6311" xr:uid="{00000000-0005-0000-0000-000019190000}"/>
    <cellStyle name="Normal 16 6 8" xfId="7749" xr:uid="{00000000-0005-0000-0000-00001A190000}"/>
    <cellStyle name="Normal 16 6 9" xfId="9186" xr:uid="{00000000-0005-0000-0000-00001B190000}"/>
    <cellStyle name="Normal 16 7" xfId="533" xr:uid="{00000000-0005-0000-0000-00001C190000}"/>
    <cellStyle name="Normal 16 7 2" xfId="1012" xr:uid="{00000000-0005-0000-0000-00001D190000}"/>
    <cellStyle name="Normal 16 7 2 2" xfId="2503" xr:uid="{00000000-0005-0000-0000-00001E190000}"/>
    <cellStyle name="Normal 16 7 2 3" xfId="3950" xr:uid="{00000000-0005-0000-0000-00001F190000}"/>
    <cellStyle name="Normal 16 7 2 4" xfId="5387" xr:uid="{00000000-0005-0000-0000-000020190000}"/>
    <cellStyle name="Normal 16 7 2 5" xfId="6833" xr:uid="{00000000-0005-0000-0000-000021190000}"/>
    <cellStyle name="Normal 16 7 2 6" xfId="8273" xr:uid="{00000000-0005-0000-0000-000022190000}"/>
    <cellStyle name="Normal 16 7 2 7" xfId="9707" xr:uid="{00000000-0005-0000-0000-000023190000}"/>
    <cellStyle name="Normal 16 7 3" xfId="1564" xr:uid="{00000000-0005-0000-0000-000024190000}"/>
    <cellStyle name="Normal 16 7 3 2" xfId="3037" xr:uid="{00000000-0005-0000-0000-000025190000}"/>
    <cellStyle name="Normal 16 7 3 3" xfId="4474" xr:uid="{00000000-0005-0000-0000-000026190000}"/>
    <cellStyle name="Normal 16 7 3 4" xfId="5911" xr:uid="{00000000-0005-0000-0000-000027190000}"/>
    <cellStyle name="Normal 16 7 3 5" xfId="7357" xr:uid="{00000000-0005-0000-0000-000028190000}"/>
    <cellStyle name="Normal 16 7 3 6" xfId="8798" xr:uid="{00000000-0005-0000-0000-000029190000}"/>
    <cellStyle name="Normal 16 7 3 7" xfId="10231" xr:uid="{00000000-0005-0000-0000-00002A190000}"/>
    <cellStyle name="Normal 16 7 4" xfId="2036" xr:uid="{00000000-0005-0000-0000-00002B190000}"/>
    <cellStyle name="Normal 16 7 5" xfId="3493" xr:uid="{00000000-0005-0000-0000-00002C190000}"/>
    <cellStyle name="Normal 16 7 6" xfId="4930" xr:uid="{00000000-0005-0000-0000-00002D190000}"/>
    <cellStyle name="Normal 16 7 7" xfId="6376" xr:uid="{00000000-0005-0000-0000-00002E190000}"/>
    <cellStyle name="Normal 16 7 8" xfId="7814" xr:uid="{00000000-0005-0000-0000-00002F190000}"/>
    <cellStyle name="Normal 16 7 9" xfId="9251" xr:uid="{00000000-0005-0000-0000-000030190000}"/>
    <cellStyle name="Normal 16 8" xfId="675" xr:uid="{00000000-0005-0000-0000-000031190000}"/>
    <cellStyle name="Normal 16 8 2" xfId="2166" xr:uid="{00000000-0005-0000-0000-000032190000}"/>
    <cellStyle name="Normal 16 8 3" xfId="3623" xr:uid="{00000000-0005-0000-0000-000033190000}"/>
    <cellStyle name="Normal 16 8 4" xfId="5060" xr:uid="{00000000-0005-0000-0000-000034190000}"/>
    <cellStyle name="Normal 16 8 5" xfId="6506" xr:uid="{00000000-0005-0000-0000-000035190000}"/>
    <cellStyle name="Normal 16 8 6" xfId="7945" xr:uid="{00000000-0005-0000-0000-000036190000}"/>
    <cellStyle name="Normal 16 8 7" xfId="9380" xr:uid="{00000000-0005-0000-0000-000037190000}"/>
    <cellStyle name="Normal 16 9" xfId="1166" xr:uid="{00000000-0005-0000-0000-000038190000}"/>
    <cellStyle name="Normal 16 9 2" xfId="2645" xr:uid="{00000000-0005-0000-0000-000039190000}"/>
    <cellStyle name="Normal 16 9 3" xfId="4082" xr:uid="{00000000-0005-0000-0000-00003A190000}"/>
    <cellStyle name="Normal 16 9 4" xfId="5519" xr:uid="{00000000-0005-0000-0000-00003B190000}"/>
    <cellStyle name="Normal 16 9 5" xfId="6965" xr:uid="{00000000-0005-0000-0000-00003C190000}"/>
    <cellStyle name="Normal 16 9 6" xfId="8406" xr:uid="{00000000-0005-0000-0000-00003D190000}"/>
    <cellStyle name="Normal 16 9 7" xfId="9839" xr:uid="{00000000-0005-0000-0000-00003E190000}"/>
    <cellStyle name="Normal 17" xfId="217" xr:uid="{00000000-0005-0000-0000-00003F190000}"/>
    <cellStyle name="Normal 17 10" xfId="3192" xr:uid="{00000000-0005-0000-0000-000040190000}"/>
    <cellStyle name="Normal 17 11" xfId="4629" xr:uid="{00000000-0005-0000-0000-000041190000}"/>
    <cellStyle name="Normal 17 12" xfId="6075" xr:uid="{00000000-0005-0000-0000-000042190000}"/>
    <cellStyle name="Normal 17 13" xfId="7513" xr:uid="{00000000-0005-0000-0000-000043190000}"/>
    <cellStyle name="Normal 17 14" xfId="8953" xr:uid="{00000000-0005-0000-0000-000044190000}"/>
    <cellStyle name="Normal 17 2" xfId="286" xr:uid="{00000000-0005-0000-0000-000045190000}"/>
    <cellStyle name="Normal 17 2 10" xfId="7578" xr:uid="{00000000-0005-0000-0000-000046190000}"/>
    <cellStyle name="Normal 17 2 11" xfId="9017" xr:uid="{00000000-0005-0000-0000-000047190000}"/>
    <cellStyle name="Normal 17 2 2" xfId="424" xr:uid="{00000000-0005-0000-0000-000048190000}"/>
    <cellStyle name="Normal 17 2 2 2" xfId="906" xr:uid="{00000000-0005-0000-0000-000049190000}"/>
    <cellStyle name="Normal 17 2 2 2 2" xfId="2397" xr:uid="{00000000-0005-0000-0000-00004A190000}"/>
    <cellStyle name="Normal 17 2 2 2 3" xfId="3844" xr:uid="{00000000-0005-0000-0000-00004B190000}"/>
    <cellStyle name="Normal 17 2 2 2 4" xfId="5281" xr:uid="{00000000-0005-0000-0000-00004C190000}"/>
    <cellStyle name="Normal 17 2 2 2 5" xfId="6727" xr:uid="{00000000-0005-0000-0000-00004D190000}"/>
    <cellStyle name="Normal 17 2 2 2 6" xfId="8167" xr:uid="{00000000-0005-0000-0000-00004E190000}"/>
    <cellStyle name="Normal 17 2 2 2 7" xfId="9601" xr:uid="{00000000-0005-0000-0000-00004F190000}"/>
    <cellStyle name="Normal 17 2 2 3" xfId="1458" xr:uid="{00000000-0005-0000-0000-000050190000}"/>
    <cellStyle name="Normal 17 2 2 3 2" xfId="2931" xr:uid="{00000000-0005-0000-0000-000051190000}"/>
    <cellStyle name="Normal 17 2 2 3 3" xfId="4368" xr:uid="{00000000-0005-0000-0000-000052190000}"/>
    <cellStyle name="Normal 17 2 2 3 4" xfId="5805" xr:uid="{00000000-0005-0000-0000-000053190000}"/>
    <cellStyle name="Normal 17 2 2 3 5" xfId="7251" xr:uid="{00000000-0005-0000-0000-000054190000}"/>
    <cellStyle name="Normal 17 2 2 3 6" xfId="8692" xr:uid="{00000000-0005-0000-0000-000055190000}"/>
    <cellStyle name="Normal 17 2 2 3 7" xfId="10125" xr:uid="{00000000-0005-0000-0000-000056190000}"/>
    <cellStyle name="Normal 17 2 2 4" xfId="1930" xr:uid="{00000000-0005-0000-0000-000057190000}"/>
    <cellStyle name="Normal 17 2 2 5" xfId="3387" xr:uid="{00000000-0005-0000-0000-000058190000}"/>
    <cellStyle name="Normal 17 2 2 6" xfId="4824" xr:uid="{00000000-0005-0000-0000-000059190000}"/>
    <cellStyle name="Normal 17 2 2 7" xfId="6270" xr:uid="{00000000-0005-0000-0000-00005A190000}"/>
    <cellStyle name="Normal 17 2 2 8" xfId="7708" xr:uid="{00000000-0005-0000-0000-00005B190000}"/>
    <cellStyle name="Normal 17 2 2 9" xfId="9145" xr:uid="{00000000-0005-0000-0000-00005C190000}"/>
    <cellStyle name="Normal 17 2 3" xfId="628" xr:uid="{00000000-0005-0000-0000-00005D190000}"/>
    <cellStyle name="Normal 17 2 3 2" xfId="1107" xr:uid="{00000000-0005-0000-0000-00005E190000}"/>
    <cellStyle name="Normal 17 2 3 2 2" xfId="2598" xr:uid="{00000000-0005-0000-0000-00005F190000}"/>
    <cellStyle name="Normal 17 2 3 2 3" xfId="4041" xr:uid="{00000000-0005-0000-0000-000060190000}"/>
    <cellStyle name="Normal 17 2 3 2 4" xfId="5478" xr:uid="{00000000-0005-0000-0000-000061190000}"/>
    <cellStyle name="Normal 17 2 3 2 5" xfId="6924" xr:uid="{00000000-0005-0000-0000-000062190000}"/>
    <cellStyle name="Normal 17 2 3 2 6" xfId="8364" xr:uid="{00000000-0005-0000-0000-000063190000}"/>
    <cellStyle name="Normal 17 2 3 2 7" xfId="9798" xr:uid="{00000000-0005-0000-0000-000064190000}"/>
    <cellStyle name="Normal 17 2 3 3" xfId="1657" xr:uid="{00000000-0005-0000-0000-000065190000}"/>
    <cellStyle name="Normal 17 2 3 3 2" xfId="3128" xr:uid="{00000000-0005-0000-0000-000066190000}"/>
    <cellStyle name="Normal 17 2 3 3 3" xfId="4565" xr:uid="{00000000-0005-0000-0000-000067190000}"/>
    <cellStyle name="Normal 17 2 3 3 4" xfId="6002" xr:uid="{00000000-0005-0000-0000-000068190000}"/>
    <cellStyle name="Normal 17 2 3 3 5" xfId="7448" xr:uid="{00000000-0005-0000-0000-000069190000}"/>
    <cellStyle name="Normal 17 2 3 3 6" xfId="8889" xr:uid="{00000000-0005-0000-0000-00006A190000}"/>
    <cellStyle name="Normal 17 2 3 3 7" xfId="10322" xr:uid="{00000000-0005-0000-0000-00006B190000}"/>
    <cellStyle name="Normal 17 2 3 4" xfId="2127" xr:uid="{00000000-0005-0000-0000-00006C190000}"/>
    <cellStyle name="Normal 17 2 3 5" xfId="3584" xr:uid="{00000000-0005-0000-0000-00006D190000}"/>
    <cellStyle name="Normal 17 2 3 6" xfId="5021" xr:uid="{00000000-0005-0000-0000-00006E190000}"/>
    <cellStyle name="Normal 17 2 3 7" xfId="6467" xr:uid="{00000000-0005-0000-0000-00006F190000}"/>
    <cellStyle name="Normal 17 2 3 8" xfId="7906" xr:uid="{00000000-0005-0000-0000-000070190000}"/>
    <cellStyle name="Normal 17 2 3 9" xfId="9341" xr:uid="{00000000-0005-0000-0000-000071190000}"/>
    <cellStyle name="Normal 17 2 4" xfId="770" xr:uid="{00000000-0005-0000-0000-000072190000}"/>
    <cellStyle name="Normal 17 2 4 2" xfId="2261" xr:uid="{00000000-0005-0000-0000-000073190000}"/>
    <cellStyle name="Normal 17 2 4 3" xfId="3714" xr:uid="{00000000-0005-0000-0000-000074190000}"/>
    <cellStyle name="Normal 17 2 4 4" xfId="5151" xr:uid="{00000000-0005-0000-0000-000075190000}"/>
    <cellStyle name="Normal 17 2 4 5" xfId="6597" xr:uid="{00000000-0005-0000-0000-000076190000}"/>
    <cellStyle name="Normal 17 2 4 6" xfId="8037" xr:uid="{00000000-0005-0000-0000-000077190000}"/>
    <cellStyle name="Normal 17 2 4 7" xfId="9471" xr:uid="{00000000-0005-0000-0000-000078190000}"/>
    <cellStyle name="Normal 17 2 5" xfId="1326" xr:uid="{00000000-0005-0000-0000-000079190000}"/>
    <cellStyle name="Normal 17 2 5 2" xfId="2801" xr:uid="{00000000-0005-0000-0000-00007A190000}"/>
    <cellStyle name="Normal 17 2 5 3" xfId="4238" xr:uid="{00000000-0005-0000-0000-00007B190000}"/>
    <cellStyle name="Normal 17 2 5 4" xfId="5675" xr:uid="{00000000-0005-0000-0000-00007C190000}"/>
    <cellStyle name="Normal 17 2 5 5" xfId="7121" xr:uid="{00000000-0005-0000-0000-00007D190000}"/>
    <cellStyle name="Normal 17 2 5 6" xfId="8562" xr:uid="{00000000-0005-0000-0000-00007E190000}"/>
    <cellStyle name="Normal 17 2 5 7" xfId="9995" xr:uid="{00000000-0005-0000-0000-00007F190000}"/>
    <cellStyle name="Normal 17 2 6" xfId="1800" xr:uid="{00000000-0005-0000-0000-000080190000}"/>
    <cellStyle name="Normal 17 2 7" xfId="3257" xr:uid="{00000000-0005-0000-0000-000081190000}"/>
    <cellStyle name="Normal 17 2 8" xfId="4694" xr:uid="{00000000-0005-0000-0000-000082190000}"/>
    <cellStyle name="Normal 17 2 9" xfId="6140" xr:uid="{00000000-0005-0000-0000-000083190000}"/>
    <cellStyle name="Normal 17 3" xfId="355" xr:uid="{00000000-0005-0000-0000-000084190000}"/>
    <cellStyle name="Normal 17 3 2" xfId="837" xr:uid="{00000000-0005-0000-0000-000085190000}"/>
    <cellStyle name="Normal 17 3 2 2" xfId="2328" xr:uid="{00000000-0005-0000-0000-000086190000}"/>
    <cellStyle name="Normal 17 3 2 3" xfId="3779" xr:uid="{00000000-0005-0000-0000-000087190000}"/>
    <cellStyle name="Normal 17 3 2 4" xfId="5216" xr:uid="{00000000-0005-0000-0000-000088190000}"/>
    <cellStyle name="Normal 17 3 2 5" xfId="6662" xr:uid="{00000000-0005-0000-0000-000089190000}"/>
    <cellStyle name="Normal 17 3 2 6" xfId="8102" xr:uid="{00000000-0005-0000-0000-00008A190000}"/>
    <cellStyle name="Normal 17 3 2 7" xfId="9536" xr:uid="{00000000-0005-0000-0000-00008B190000}"/>
    <cellStyle name="Normal 17 3 3" xfId="1391" xr:uid="{00000000-0005-0000-0000-00008C190000}"/>
    <cellStyle name="Normal 17 3 3 2" xfId="2866" xr:uid="{00000000-0005-0000-0000-00008D190000}"/>
    <cellStyle name="Normal 17 3 3 3" xfId="4303" xr:uid="{00000000-0005-0000-0000-00008E190000}"/>
    <cellStyle name="Normal 17 3 3 4" xfId="5740" xr:uid="{00000000-0005-0000-0000-00008F190000}"/>
    <cellStyle name="Normal 17 3 3 5" xfId="7186" xr:uid="{00000000-0005-0000-0000-000090190000}"/>
    <cellStyle name="Normal 17 3 3 6" xfId="8627" xr:uid="{00000000-0005-0000-0000-000091190000}"/>
    <cellStyle name="Normal 17 3 3 7" xfId="10060" xr:uid="{00000000-0005-0000-0000-000092190000}"/>
    <cellStyle name="Normal 17 3 4" xfId="1865" xr:uid="{00000000-0005-0000-0000-000093190000}"/>
    <cellStyle name="Normal 17 3 5" xfId="3322" xr:uid="{00000000-0005-0000-0000-000094190000}"/>
    <cellStyle name="Normal 17 3 6" xfId="4759" xr:uid="{00000000-0005-0000-0000-000095190000}"/>
    <cellStyle name="Normal 17 3 7" xfId="6205" xr:uid="{00000000-0005-0000-0000-000096190000}"/>
    <cellStyle name="Normal 17 3 8" xfId="7643" xr:uid="{00000000-0005-0000-0000-000097190000}"/>
    <cellStyle name="Normal 17 3 9" xfId="9080" xr:uid="{00000000-0005-0000-0000-000098190000}"/>
    <cellStyle name="Normal 17 4" xfId="494" xr:uid="{00000000-0005-0000-0000-000099190000}"/>
    <cellStyle name="Normal 17 4 2" xfId="973" xr:uid="{00000000-0005-0000-0000-00009A190000}"/>
    <cellStyle name="Normal 17 4 2 2" xfId="2464" xr:uid="{00000000-0005-0000-0000-00009B190000}"/>
    <cellStyle name="Normal 17 4 2 3" xfId="3911" xr:uid="{00000000-0005-0000-0000-00009C190000}"/>
    <cellStyle name="Normal 17 4 2 4" xfId="5348" xr:uid="{00000000-0005-0000-0000-00009D190000}"/>
    <cellStyle name="Normal 17 4 2 5" xfId="6794" xr:uid="{00000000-0005-0000-0000-00009E190000}"/>
    <cellStyle name="Normal 17 4 2 6" xfId="8234" xr:uid="{00000000-0005-0000-0000-00009F190000}"/>
    <cellStyle name="Normal 17 4 2 7" xfId="9668" xr:uid="{00000000-0005-0000-0000-0000A0190000}"/>
    <cellStyle name="Normal 17 4 3" xfId="1525" xr:uid="{00000000-0005-0000-0000-0000A1190000}"/>
    <cellStyle name="Normal 17 4 3 2" xfId="2998" xr:uid="{00000000-0005-0000-0000-0000A2190000}"/>
    <cellStyle name="Normal 17 4 3 3" xfId="4435" xr:uid="{00000000-0005-0000-0000-0000A3190000}"/>
    <cellStyle name="Normal 17 4 3 4" xfId="5872" xr:uid="{00000000-0005-0000-0000-0000A4190000}"/>
    <cellStyle name="Normal 17 4 3 5" xfId="7318" xr:uid="{00000000-0005-0000-0000-0000A5190000}"/>
    <cellStyle name="Normal 17 4 3 6" xfId="8759" xr:uid="{00000000-0005-0000-0000-0000A6190000}"/>
    <cellStyle name="Normal 17 4 3 7" xfId="10192" xr:uid="{00000000-0005-0000-0000-0000A7190000}"/>
    <cellStyle name="Normal 17 4 4" xfId="1997" xr:uid="{00000000-0005-0000-0000-0000A8190000}"/>
    <cellStyle name="Normal 17 4 5" xfId="3454" xr:uid="{00000000-0005-0000-0000-0000A9190000}"/>
    <cellStyle name="Normal 17 4 6" xfId="4891" xr:uid="{00000000-0005-0000-0000-0000AA190000}"/>
    <cellStyle name="Normal 17 4 7" xfId="6337" xr:uid="{00000000-0005-0000-0000-0000AB190000}"/>
    <cellStyle name="Normal 17 4 8" xfId="7775" xr:uid="{00000000-0005-0000-0000-0000AC190000}"/>
    <cellStyle name="Normal 17 4 9" xfId="9212" xr:uid="{00000000-0005-0000-0000-0000AD190000}"/>
    <cellStyle name="Normal 17 5" xfId="559" xr:uid="{00000000-0005-0000-0000-0000AE190000}"/>
    <cellStyle name="Normal 17 5 2" xfId="1038" xr:uid="{00000000-0005-0000-0000-0000AF190000}"/>
    <cellStyle name="Normal 17 5 2 2" xfId="2529" xr:uid="{00000000-0005-0000-0000-0000B0190000}"/>
    <cellStyle name="Normal 17 5 2 3" xfId="3976" xr:uid="{00000000-0005-0000-0000-0000B1190000}"/>
    <cellStyle name="Normal 17 5 2 4" xfId="5413" xr:uid="{00000000-0005-0000-0000-0000B2190000}"/>
    <cellStyle name="Normal 17 5 2 5" xfId="6859" xr:uid="{00000000-0005-0000-0000-0000B3190000}"/>
    <cellStyle name="Normal 17 5 2 6" xfId="8299" xr:uid="{00000000-0005-0000-0000-0000B4190000}"/>
    <cellStyle name="Normal 17 5 2 7" xfId="9733" xr:uid="{00000000-0005-0000-0000-0000B5190000}"/>
    <cellStyle name="Normal 17 5 3" xfId="1590" xr:uid="{00000000-0005-0000-0000-0000B6190000}"/>
    <cellStyle name="Normal 17 5 3 2" xfId="3063" xr:uid="{00000000-0005-0000-0000-0000B7190000}"/>
    <cellStyle name="Normal 17 5 3 3" xfId="4500" xr:uid="{00000000-0005-0000-0000-0000B8190000}"/>
    <cellStyle name="Normal 17 5 3 4" xfId="5937" xr:uid="{00000000-0005-0000-0000-0000B9190000}"/>
    <cellStyle name="Normal 17 5 3 5" xfId="7383" xr:uid="{00000000-0005-0000-0000-0000BA190000}"/>
    <cellStyle name="Normal 17 5 3 6" xfId="8824" xr:uid="{00000000-0005-0000-0000-0000BB190000}"/>
    <cellStyle name="Normal 17 5 3 7" xfId="10257" xr:uid="{00000000-0005-0000-0000-0000BC190000}"/>
    <cellStyle name="Normal 17 5 4" xfId="2062" xr:uid="{00000000-0005-0000-0000-0000BD190000}"/>
    <cellStyle name="Normal 17 5 5" xfId="3519" xr:uid="{00000000-0005-0000-0000-0000BE190000}"/>
    <cellStyle name="Normal 17 5 6" xfId="4956" xr:uid="{00000000-0005-0000-0000-0000BF190000}"/>
    <cellStyle name="Normal 17 5 7" xfId="6402" xr:uid="{00000000-0005-0000-0000-0000C0190000}"/>
    <cellStyle name="Normal 17 5 8" xfId="7840" xr:uid="{00000000-0005-0000-0000-0000C1190000}"/>
    <cellStyle name="Normal 17 5 9" xfId="9276" xr:uid="{00000000-0005-0000-0000-0000C2190000}"/>
    <cellStyle name="Normal 17 6" xfId="701" xr:uid="{00000000-0005-0000-0000-0000C3190000}"/>
    <cellStyle name="Normal 17 6 2" xfId="2192" xr:uid="{00000000-0005-0000-0000-0000C4190000}"/>
    <cellStyle name="Normal 17 6 3" xfId="3649" xr:uid="{00000000-0005-0000-0000-0000C5190000}"/>
    <cellStyle name="Normal 17 6 4" xfId="5086" xr:uid="{00000000-0005-0000-0000-0000C6190000}"/>
    <cellStyle name="Normal 17 6 5" xfId="6532" xr:uid="{00000000-0005-0000-0000-0000C7190000}"/>
    <cellStyle name="Normal 17 6 6" xfId="7971" xr:uid="{00000000-0005-0000-0000-0000C8190000}"/>
    <cellStyle name="Normal 17 6 7" xfId="9406" xr:uid="{00000000-0005-0000-0000-0000C9190000}"/>
    <cellStyle name="Normal 17 7" xfId="1192" xr:uid="{00000000-0005-0000-0000-0000CA190000}"/>
    <cellStyle name="Normal 17 7 2" xfId="2671" xr:uid="{00000000-0005-0000-0000-0000CB190000}"/>
    <cellStyle name="Normal 17 7 3" xfId="4108" xr:uid="{00000000-0005-0000-0000-0000CC190000}"/>
    <cellStyle name="Normal 17 7 4" xfId="5545" xr:uid="{00000000-0005-0000-0000-0000CD190000}"/>
    <cellStyle name="Normal 17 7 5" xfId="6991" xr:uid="{00000000-0005-0000-0000-0000CE190000}"/>
    <cellStyle name="Normal 17 7 6" xfId="8432" xr:uid="{00000000-0005-0000-0000-0000CF190000}"/>
    <cellStyle name="Normal 17 7 7" xfId="9865" xr:uid="{00000000-0005-0000-0000-0000D0190000}"/>
    <cellStyle name="Normal 17 8" xfId="1257" xr:uid="{00000000-0005-0000-0000-0000D1190000}"/>
    <cellStyle name="Normal 17 8 2" xfId="2736" xr:uid="{00000000-0005-0000-0000-0000D2190000}"/>
    <cellStyle name="Normal 17 8 3" xfId="4173" xr:uid="{00000000-0005-0000-0000-0000D3190000}"/>
    <cellStyle name="Normal 17 8 4" xfId="5610" xr:uid="{00000000-0005-0000-0000-0000D4190000}"/>
    <cellStyle name="Normal 17 8 5" xfId="7056" xr:uid="{00000000-0005-0000-0000-0000D5190000}"/>
    <cellStyle name="Normal 17 8 6" xfId="8497" xr:uid="{00000000-0005-0000-0000-0000D6190000}"/>
    <cellStyle name="Normal 17 8 7" xfId="9930" xr:uid="{00000000-0005-0000-0000-0000D7190000}"/>
    <cellStyle name="Normal 17 9" xfId="1735" xr:uid="{00000000-0005-0000-0000-0000D8190000}"/>
    <cellStyle name="Normal 18" xfId="255" xr:uid="{00000000-0005-0000-0000-0000D9190000}"/>
    <cellStyle name="Normal 18 10" xfId="7544" xr:uid="{00000000-0005-0000-0000-0000DA190000}"/>
    <cellStyle name="Normal 18 11" xfId="8984" xr:uid="{00000000-0005-0000-0000-0000DB190000}"/>
    <cellStyle name="Normal 18 2" xfId="390" xr:uid="{00000000-0005-0000-0000-0000DC190000}"/>
    <cellStyle name="Normal 18 2 2" xfId="872" xr:uid="{00000000-0005-0000-0000-0000DD190000}"/>
    <cellStyle name="Normal 18 2 2 2" xfId="2363" xr:uid="{00000000-0005-0000-0000-0000DE190000}"/>
    <cellStyle name="Normal 18 2 2 3" xfId="3810" xr:uid="{00000000-0005-0000-0000-0000DF190000}"/>
    <cellStyle name="Normal 18 2 2 4" xfId="5247" xr:uid="{00000000-0005-0000-0000-0000E0190000}"/>
    <cellStyle name="Normal 18 2 2 5" xfId="6693" xr:uid="{00000000-0005-0000-0000-0000E1190000}"/>
    <cellStyle name="Normal 18 2 2 6" xfId="8133" xr:uid="{00000000-0005-0000-0000-0000E2190000}"/>
    <cellStyle name="Normal 18 2 2 7" xfId="9567" xr:uid="{00000000-0005-0000-0000-0000E3190000}"/>
    <cellStyle name="Normal 18 2 3" xfId="1424" xr:uid="{00000000-0005-0000-0000-0000E4190000}"/>
    <cellStyle name="Normal 18 2 3 2" xfId="2897" xr:uid="{00000000-0005-0000-0000-0000E5190000}"/>
    <cellStyle name="Normal 18 2 3 3" xfId="4334" xr:uid="{00000000-0005-0000-0000-0000E6190000}"/>
    <cellStyle name="Normal 18 2 3 4" xfId="5771" xr:uid="{00000000-0005-0000-0000-0000E7190000}"/>
    <cellStyle name="Normal 18 2 3 5" xfId="7217" xr:uid="{00000000-0005-0000-0000-0000E8190000}"/>
    <cellStyle name="Normal 18 2 3 6" xfId="8658" xr:uid="{00000000-0005-0000-0000-0000E9190000}"/>
    <cellStyle name="Normal 18 2 3 7" xfId="10091" xr:uid="{00000000-0005-0000-0000-0000EA190000}"/>
    <cellStyle name="Normal 18 2 4" xfId="1896" xr:uid="{00000000-0005-0000-0000-0000EB190000}"/>
    <cellStyle name="Normal 18 2 5" xfId="3353" xr:uid="{00000000-0005-0000-0000-0000EC190000}"/>
    <cellStyle name="Normal 18 2 6" xfId="4790" xr:uid="{00000000-0005-0000-0000-0000ED190000}"/>
    <cellStyle name="Normal 18 2 7" xfId="6236" xr:uid="{00000000-0005-0000-0000-0000EE190000}"/>
    <cellStyle name="Normal 18 2 8" xfId="7674" xr:uid="{00000000-0005-0000-0000-0000EF190000}"/>
    <cellStyle name="Normal 18 2 9" xfId="9111" xr:uid="{00000000-0005-0000-0000-0000F0190000}"/>
    <cellStyle name="Normal 18 3" xfId="594" xr:uid="{00000000-0005-0000-0000-0000F1190000}"/>
    <cellStyle name="Normal 18 3 2" xfId="1073" xr:uid="{00000000-0005-0000-0000-0000F2190000}"/>
    <cellStyle name="Normal 18 3 2 2" xfId="2564" xr:uid="{00000000-0005-0000-0000-0000F3190000}"/>
    <cellStyle name="Normal 18 3 2 3" xfId="4007" xr:uid="{00000000-0005-0000-0000-0000F4190000}"/>
    <cellStyle name="Normal 18 3 2 4" xfId="5444" xr:uid="{00000000-0005-0000-0000-0000F5190000}"/>
    <cellStyle name="Normal 18 3 2 5" xfId="6890" xr:uid="{00000000-0005-0000-0000-0000F6190000}"/>
    <cellStyle name="Normal 18 3 2 6" xfId="8330" xr:uid="{00000000-0005-0000-0000-0000F7190000}"/>
    <cellStyle name="Normal 18 3 2 7" xfId="9764" xr:uid="{00000000-0005-0000-0000-0000F8190000}"/>
    <cellStyle name="Normal 18 3 3" xfId="1623" xr:uid="{00000000-0005-0000-0000-0000F9190000}"/>
    <cellStyle name="Normal 18 3 3 2" xfId="3094" xr:uid="{00000000-0005-0000-0000-0000FA190000}"/>
    <cellStyle name="Normal 18 3 3 3" xfId="4531" xr:uid="{00000000-0005-0000-0000-0000FB190000}"/>
    <cellStyle name="Normal 18 3 3 4" xfId="5968" xr:uid="{00000000-0005-0000-0000-0000FC190000}"/>
    <cellStyle name="Normal 18 3 3 5" xfId="7414" xr:uid="{00000000-0005-0000-0000-0000FD190000}"/>
    <cellStyle name="Normal 18 3 3 6" xfId="8855" xr:uid="{00000000-0005-0000-0000-0000FE190000}"/>
    <cellStyle name="Normal 18 3 3 7" xfId="10288" xr:uid="{00000000-0005-0000-0000-0000FF190000}"/>
    <cellStyle name="Normal 18 3 4" xfId="2093" xr:uid="{00000000-0005-0000-0000-0000001A0000}"/>
    <cellStyle name="Normal 18 3 5" xfId="3550" xr:uid="{00000000-0005-0000-0000-0000011A0000}"/>
    <cellStyle name="Normal 18 3 6" xfId="4987" xr:uid="{00000000-0005-0000-0000-0000021A0000}"/>
    <cellStyle name="Normal 18 3 7" xfId="6433" xr:uid="{00000000-0005-0000-0000-0000031A0000}"/>
    <cellStyle name="Normal 18 3 8" xfId="7872" xr:uid="{00000000-0005-0000-0000-0000041A0000}"/>
    <cellStyle name="Normal 18 3 9" xfId="9307" xr:uid="{00000000-0005-0000-0000-0000051A0000}"/>
    <cellStyle name="Normal 18 4" xfId="736" xr:uid="{00000000-0005-0000-0000-0000061A0000}"/>
    <cellStyle name="Normal 18 4 2" xfId="2227" xr:uid="{00000000-0005-0000-0000-0000071A0000}"/>
    <cellStyle name="Normal 18 4 3" xfId="3680" xr:uid="{00000000-0005-0000-0000-0000081A0000}"/>
    <cellStyle name="Normal 18 4 4" xfId="5117" xr:uid="{00000000-0005-0000-0000-0000091A0000}"/>
    <cellStyle name="Normal 18 4 5" xfId="6563" xr:uid="{00000000-0005-0000-0000-00000A1A0000}"/>
    <cellStyle name="Normal 18 4 6" xfId="8003" xr:uid="{00000000-0005-0000-0000-00000B1A0000}"/>
    <cellStyle name="Normal 18 4 7" xfId="9437" xr:uid="{00000000-0005-0000-0000-00000C1A0000}"/>
    <cellStyle name="Normal 18 5" xfId="1292" xr:uid="{00000000-0005-0000-0000-00000D1A0000}"/>
    <cellStyle name="Normal 18 5 2" xfId="2767" xr:uid="{00000000-0005-0000-0000-00000E1A0000}"/>
    <cellStyle name="Normal 18 5 3" xfId="4204" xr:uid="{00000000-0005-0000-0000-00000F1A0000}"/>
    <cellStyle name="Normal 18 5 4" xfId="5641" xr:uid="{00000000-0005-0000-0000-0000101A0000}"/>
    <cellStyle name="Normal 18 5 5" xfId="7087" xr:uid="{00000000-0005-0000-0000-0000111A0000}"/>
    <cellStyle name="Normal 18 5 6" xfId="8528" xr:uid="{00000000-0005-0000-0000-0000121A0000}"/>
    <cellStyle name="Normal 18 5 7" xfId="9961" xr:uid="{00000000-0005-0000-0000-0000131A0000}"/>
    <cellStyle name="Normal 18 6" xfId="1766" xr:uid="{00000000-0005-0000-0000-0000141A0000}"/>
    <cellStyle name="Normal 18 7" xfId="3223" xr:uid="{00000000-0005-0000-0000-0000151A0000}"/>
    <cellStyle name="Normal 18 8" xfId="4660" xr:uid="{00000000-0005-0000-0000-0000161A0000}"/>
    <cellStyle name="Normal 18 9" xfId="6106" xr:uid="{00000000-0005-0000-0000-0000171A0000}"/>
    <cellStyle name="Normal 19" xfId="321" xr:uid="{00000000-0005-0000-0000-0000181A0000}"/>
    <cellStyle name="Normal 19 2" xfId="803" xr:uid="{00000000-0005-0000-0000-0000191A0000}"/>
    <cellStyle name="Normal 19 2 2" xfId="2294" xr:uid="{00000000-0005-0000-0000-00001A1A0000}"/>
    <cellStyle name="Normal 19 2 3" xfId="3745" xr:uid="{00000000-0005-0000-0000-00001B1A0000}"/>
    <cellStyle name="Normal 19 2 4" xfId="5182" xr:uid="{00000000-0005-0000-0000-00001C1A0000}"/>
    <cellStyle name="Normal 19 2 5" xfId="6628" xr:uid="{00000000-0005-0000-0000-00001D1A0000}"/>
    <cellStyle name="Normal 19 2 6" xfId="8068" xr:uid="{00000000-0005-0000-0000-00001E1A0000}"/>
    <cellStyle name="Normal 19 2 7" xfId="9502" xr:uid="{00000000-0005-0000-0000-00001F1A0000}"/>
    <cellStyle name="Normal 19 3" xfId="1357" xr:uid="{00000000-0005-0000-0000-0000201A0000}"/>
    <cellStyle name="Normal 19 3 2" xfId="2832" xr:uid="{00000000-0005-0000-0000-0000211A0000}"/>
    <cellStyle name="Normal 19 3 3" xfId="4269" xr:uid="{00000000-0005-0000-0000-0000221A0000}"/>
    <cellStyle name="Normal 19 3 4" xfId="5706" xr:uid="{00000000-0005-0000-0000-0000231A0000}"/>
    <cellStyle name="Normal 19 3 5" xfId="7152" xr:uid="{00000000-0005-0000-0000-0000241A0000}"/>
    <cellStyle name="Normal 19 3 6" xfId="8593" xr:uid="{00000000-0005-0000-0000-0000251A0000}"/>
    <cellStyle name="Normal 19 3 7" xfId="10026" xr:uid="{00000000-0005-0000-0000-0000261A0000}"/>
    <cellStyle name="Normal 19 4" xfId="1831" xr:uid="{00000000-0005-0000-0000-0000271A0000}"/>
    <cellStyle name="Normal 19 5" xfId="3288" xr:uid="{00000000-0005-0000-0000-0000281A0000}"/>
    <cellStyle name="Normal 19 6" xfId="4725" xr:uid="{00000000-0005-0000-0000-0000291A0000}"/>
    <cellStyle name="Normal 19 7" xfId="6171" xr:uid="{00000000-0005-0000-0000-00002A1A0000}"/>
    <cellStyle name="Normal 19 8" xfId="7609" xr:uid="{00000000-0005-0000-0000-00002B1A0000}"/>
    <cellStyle name="Normal 19 9" xfId="9048" xr:uid="{00000000-0005-0000-0000-00002C1A0000}"/>
    <cellStyle name="Normal 2" xfId="3" xr:uid="{00000000-0005-0000-0000-00002D1A0000}"/>
    <cellStyle name="Normal 2 10" xfId="50" xr:uid="{00000000-0005-0000-0000-00002E1A0000}"/>
    <cellStyle name="Normal 2 10 10" xfId="1240" xr:uid="{00000000-0005-0000-0000-00002F1A0000}"/>
    <cellStyle name="Normal 2 10 10 2" xfId="2719" xr:uid="{00000000-0005-0000-0000-0000301A0000}"/>
    <cellStyle name="Normal 2 10 10 3" xfId="4156" xr:uid="{00000000-0005-0000-0000-0000311A0000}"/>
    <cellStyle name="Normal 2 10 10 4" xfId="5593" xr:uid="{00000000-0005-0000-0000-0000321A0000}"/>
    <cellStyle name="Normal 2 10 10 5" xfId="7039" xr:uid="{00000000-0005-0000-0000-0000331A0000}"/>
    <cellStyle name="Normal 2 10 10 6" xfId="8480" xr:uid="{00000000-0005-0000-0000-0000341A0000}"/>
    <cellStyle name="Normal 2 10 10 7" xfId="9913" xr:uid="{00000000-0005-0000-0000-0000351A0000}"/>
    <cellStyle name="Normal 2 10 11" xfId="1718" xr:uid="{00000000-0005-0000-0000-0000361A0000}"/>
    <cellStyle name="Normal 2 10 12" xfId="3175" xr:uid="{00000000-0005-0000-0000-0000371A0000}"/>
    <cellStyle name="Normal 2 10 13" xfId="4612" xr:uid="{00000000-0005-0000-0000-0000381A0000}"/>
    <cellStyle name="Normal 2 10 14" xfId="6058" xr:uid="{00000000-0005-0000-0000-0000391A0000}"/>
    <cellStyle name="Normal 2 10 15" xfId="7496" xr:uid="{00000000-0005-0000-0000-00003A1A0000}"/>
    <cellStyle name="Normal 2 10 16" xfId="8936" xr:uid="{00000000-0005-0000-0000-00003B1A0000}"/>
    <cellStyle name="Normal 2 10 2" xfId="157" xr:uid="{00000000-0005-0000-0000-00003C1A0000}"/>
    <cellStyle name="Normal 2 10 3" xfId="234" xr:uid="{00000000-0005-0000-0000-00003D1A0000}"/>
    <cellStyle name="Normal 2 10 3 10" xfId="3209" xr:uid="{00000000-0005-0000-0000-00003E1A0000}"/>
    <cellStyle name="Normal 2 10 3 11" xfId="4646" xr:uid="{00000000-0005-0000-0000-00003F1A0000}"/>
    <cellStyle name="Normal 2 10 3 12" xfId="6092" xr:uid="{00000000-0005-0000-0000-0000401A0000}"/>
    <cellStyle name="Normal 2 10 3 13" xfId="7530" xr:uid="{00000000-0005-0000-0000-0000411A0000}"/>
    <cellStyle name="Normal 2 10 3 14" xfId="8970" xr:uid="{00000000-0005-0000-0000-0000421A0000}"/>
    <cellStyle name="Normal 2 10 3 2" xfId="303" xr:uid="{00000000-0005-0000-0000-0000431A0000}"/>
    <cellStyle name="Normal 2 10 3 2 10" xfId="7595" xr:uid="{00000000-0005-0000-0000-0000441A0000}"/>
    <cellStyle name="Normal 2 10 3 2 11" xfId="9034" xr:uid="{00000000-0005-0000-0000-0000451A0000}"/>
    <cellStyle name="Normal 2 10 3 2 2" xfId="441" xr:uid="{00000000-0005-0000-0000-0000461A0000}"/>
    <cellStyle name="Normal 2 10 3 2 2 2" xfId="923" xr:uid="{00000000-0005-0000-0000-0000471A0000}"/>
    <cellStyle name="Normal 2 10 3 2 2 2 2" xfId="2414" xr:uid="{00000000-0005-0000-0000-0000481A0000}"/>
    <cellStyle name="Normal 2 10 3 2 2 2 3" xfId="3861" xr:uid="{00000000-0005-0000-0000-0000491A0000}"/>
    <cellStyle name="Normal 2 10 3 2 2 2 4" xfId="5298" xr:uid="{00000000-0005-0000-0000-00004A1A0000}"/>
    <cellStyle name="Normal 2 10 3 2 2 2 5" xfId="6744" xr:uid="{00000000-0005-0000-0000-00004B1A0000}"/>
    <cellStyle name="Normal 2 10 3 2 2 2 6" xfId="8184" xr:uid="{00000000-0005-0000-0000-00004C1A0000}"/>
    <cellStyle name="Normal 2 10 3 2 2 2 7" xfId="9618" xr:uid="{00000000-0005-0000-0000-00004D1A0000}"/>
    <cellStyle name="Normal 2 10 3 2 2 3" xfId="1475" xr:uid="{00000000-0005-0000-0000-00004E1A0000}"/>
    <cellStyle name="Normal 2 10 3 2 2 3 2" xfId="2948" xr:uid="{00000000-0005-0000-0000-00004F1A0000}"/>
    <cellStyle name="Normal 2 10 3 2 2 3 3" xfId="4385" xr:uid="{00000000-0005-0000-0000-0000501A0000}"/>
    <cellStyle name="Normal 2 10 3 2 2 3 4" xfId="5822" xr:uid="{00000000-0005-0000-0000-0000511A0000}"/>
    <cellStyle name="Normal 2 10 3 2 2 3 5" xfId="7268" xr:uid="{00000000-0005-0000-0000-0000521A0000}"/>
    <cellStyle name="Normal 2 10 3 2 2 3 6" xfId="8709" xr:uid="{00000000-0005-0000-0000-0000531A0000}"/>
    <cellStyle name="Normal 2 10 3 2 2 3 7" xfId="10142" xr:uid="{00000000-0005-0000-0000-0000541A0000}"/>
    <cellStyle name="Normal 2 10 3 2 2 4" xfId="1947" xr:uid="{00000000-0005-0000-0000-0000551A0000}"/>
    <cellStyle name="Normal 2 10 3 2 2 5" xfId="3404" xr:uid="{00000000-0005-0000-0000-0000561A0000}"/>
    <cellStyle name="Normal 2 10 3 2 2 6" xfId="4841" xr:uid="{00000000-0005-0000-0000-0000571A0000}"/>
    <cellStyle name="Normal 2 10 3 2 2 7" xfId="6287" xr:uid="{00000000-0005-0000-0000-0000581A0000}"/>
    <cellStyle name="Normal 2 10 3 2 2 8" xfId="7725" xr:uid="{00000000-0005-0000-0000-0000591A0000}"/>
    <cellStyle name="Normal 2 10 3 2 2 9" xfId="9162" xr:uid="{00000000-0005-0000-0000-00005A1A0000}"/>
    <cellStyle name="Normal 2 10 3 2 3" xfId="645" xr:uid="{00000000-0005-0000-0000-00005B1A0000}"/>
    <cellStyle name="Normal 2 10 3 2 3 2" xfId="1124" xr:uid="{00000000-0005-0000-0000-00005C1A0000}"/>
    <cellStyle name="Normal 2 10 3 2 3 2 2" xfId="2615" xr:uid="{00000000-0005-0000-0000-00005D1A0000}"/>
    <cellStyle name="Normal 2 10 3 2 3 2 3" xfId="4058" xr:uid="{00000000-0005-0000-0000-00005E1A0000}"/>
    <cellStyle name="Normal 2 10 3 2 3 2 4" xfId="5495" xr:uid="{00000000-0005-0000-0000-00005F1A0000}"/>
    <cellStyle name="Normal 2 10 3 2 3 2 5" xfId="6941" xr:uid="{00000000-0005-0000-0000-0000601A0000}"/>
    <cellStyle name="Normal 2 10 3 2 3 2 6" xfId="8381" xr:uid="{00000000-0005-0000-0000-0000611A0000}"/>
    <cellStyle name="Normal 2 10 3 2 3 2 7" xfId="9815" xr:uid="{00000000-0005-0000-0000-0000621A0000}"/>
    <cellStyle name="Normal 2 10 3 2 3 3" xfId="1674" xr:uid="{00000000-0005-0000-0000-0000631A0000}"/>
    <cellStyle name="Normal 2 10 3 2 3 3 2" xfId="3145" xr:uid="{00000000-0005-0000-0000-0000641A0000}"/>
    <cellStyle name="Normal 2 10 3 2 3 3 3" xfId="4582" xr:uid="{00000000-0005-0000-0000-0000651A0000}"/>
    <cellStyle name="Normal 2 10 3 2 3 3 4" xfId="6019" xr:uid="{00000000-0005-0000-0000-0000661A0000}"/>
    <cellStyle name="Normal 2 10 3 2 3 3 5" xfId="7465" xr:uid="{00000000-0005-0000-0000-0000671A0000}"/>
    <cellStyle name="Normal 2 10 3 2 3 3 6" xfId="8906" xr:uid="{00000000-0005-0000-0000-0000681A0000}"/>
    <cellStyle name="Normal 2 10 3 2 3 3 7" xfId="10339" xr:uid="{00000000-0005-0000-0000-0000691A0000}"/>
    <cellStyle name="Normal 2 10 3 2 3 4" xfId="2144" xr:uid="{00000000-0005-0000-0000-00006A1A0000}"/>
    <cellStyle name="Normal 2 10 3 2 3 5" xfId="3601" xr:uid="{00000000-0005-0000-0000-00006B1A0000}"/>
    <cellStyle name="Normal 2 10 3 2 3 6" xfId="5038" xr:uid="{00000000-0005-0000-0000-00006C1A0000}"/>
    <cellStyle name="Normal 2 10 3 2 3 7" xfId="6484" xr:uid="{00000000-0005-0000-0000-00006D1A0000}"/>
    <cellStyle name="Normal 2 10 3 2 3 8" xfId="7923" xr:uid="{00000000-0005-0000-0000-00006E1A0000}"/>
    <cellStyle name="Normal 2 10 3 2 3 9" xfId="9358" xr:uid="{00000000-0005-0000-0000-00006F1A0000}"/>
    <cellStyle name="Normal 2 10 3 2 4" xfId="787" xr:uid="{00000000-0005-0000-0000-0000701A0000}"/>
    <cellStyle name="Normal 2 10 3 2 4 2" xfId="2278" xr:uid="{00000000-0005-0000-0000-0000711A0000}"/>
    <cellStyle name="Normal 2 10 3 2 4 3" xfId="3731" xr:uid="{00000000-0005-0000-0000-0000721A0000}"/>
    <cellStyle name="Normal 2 10 3 2 4 4" xfId="5168" xr:uid="{00000000-0005-0000-0000-0000731A0000}"/>
    <cellStyle name="Normal 2 10 3 2 4 5" xfId="6614" xr:uid="{00000000-0005-0000-0000-0000741A0000}"/>
    <cellStyle name="Normal 2 10 3 2 4 6" xfId="8054" xr:uid="{00000000-0005-0000-0000-0000751A0000}"/>
    <cellStyle name="Normal 2 10 3 2 4 7" xfId="9488" xr:uid="{00000000-0005-0000-0000-0000761A0000}"/>
    <cellStyle name="Normal 2 10 3 2 5" xfId="1343" xr:uid="{00000000-0005-0000-0000-0000771A0000}"/>
    <cellStyle name="Normal 2 10 3 2 5 2" xfId="2818" xr:uid="{00000000-0005-0000-0000-0000781A0000}"/>
    <cellStyle name="Normal 2 10 3 2 5 3" xfId="4255" xr:uid="{00000000-0005-0000-0000-0000791A0000}"/>
    <cellStyle name="Normal 2 10 3 2 5 4" xfId="5692" xr:uid="{00000000-0005-0000-0000-00007A1A0000}"/>
    <cellStyle name="Normal 2 10 3 2 5 5" xfId="7138" xr:uid="{00000000-0005-0000-0000-00007B1A0000}"/>
    <cellStyle name="Normal 2 10 3 2 5 6" xfId="8579" xr:uid="{00000000-0005-0000-0000-00007C1A0000}"/>
    <cellStyle name="Normal 2 10 3 2 5 7" xfId="10012" xr:uid="{00000000-0005-0000-0000-00007D1A0000}"/>
    <cellStyle name="Normal 2 10 3 2 6" xfId="1817" xr:uid="{00000000-0005-0000-0000-00007E1A0000}"/>
    <cellStyle name="Normal 2 10 3 2 7" xfId="3274" xr:uid="{00000000-0005-0000-0000-00007F1A0000}"/>
    <cellStyle name="Normal 2 10 3 2 8" xfId="4711" xr:uid="{00000000-0005-0000-0000-0000801A0000}"/>
    <cellStyle name="Normal 2 10 3 2 9" xfId="6157" xr:uid="{00000000-0005-0000-0000-0000811A0000}"/>
    <cellStyle name="Normal 2 10 3 3" xfId="372" xr:uid="{00000000-0005-0000-0000-0000821A0000}"/>
    <cellStyle name="Normal 2 10 3 3 2" xfId="854" xr:uid="{00000000-0005-0000-0000-0000831A0000}"/>
    <cellStyle name="Normal 2 10 3 3 2 2" xfId="2345" xr:uid="{00000000-0005-0000-0000-0000841A0000}"/>
    <cellStyle name="Normal 2 10 3 3 2 3" xfId="3796" xr:uid="{00000000-0005-0000-0000-0000851A0000}"/>
    <cellStyle name="Normal 2 10 3 3 2 4" xfId="5233" xr:uid="{00000000-0005-0000-0000-0000861A0000}"/>
    <cellStyle name="Normal 2 10 3 3 2 5" xfId="6679" xr:uid="{00000000-0005-0000-0000-0000871A0000}"/>
    <cellStyle name="Normal 2 10 3 3 2 6" xfId="8119" xr:uid="{00000000-0005-0000-0000-0000881A0000}"/>
    <cellStyle name="Normal 2 10 3 3 2 7" xfId="9553" xr:uid="{00000000-0005-0000-0000-0000891A0000}"/>
    <cellStyle name="Normal 2 10 3 3 3" xfId="1408" xr:uid="{00000000-0005-0000-0000-00008A1A0000}"/>
    <cellStyle name="Normal 2 10 3 3 3 2" xfId="2883" xr:uid="{00000000-0005-0000-0000-00008B1A0000}"/>
    <cellStyle name="Normal 2 10 3 3 3 3" xfId="4320" xr:uid="{00000000-0005-0000-0000-00008C1A0000}"/>
    <cellStyle name="Normal 2 10 3 3 3 4" xfId="5757" xr:uid="{00000000-0005-0000-0000-00008D1A0000}"/>
    <cellStyle name="Normal 2 10 3 3 3 5" xfId="7203" xr:uid="{00000000-0005-0000-0000-00008E1A0000}"/>
    <cellStyle name="Normal 2 10 3 3 3 6" xfId="8644" xr:uid="{00000000-0005-0000-0000-00008F1A0000}"/>
    <cellStyle name="Normal 2 10 3 3 3 7" xfId="10077" xr:uid="{00000000-0005-0000-0000-0000901A0000}"/>
    <cellStyle name="Normal 2 10 3 3 4" xfId="1882" xr:uid="{00000000-0005-0000-0000-0000911A0000}"/>
    <cellStyle name="Normal 2 10 3 3 5" xfId="3339" xr:uid="{00000000-0005-0000-0000-0000921A0000}"/>
    <cellStyle name="Normal 2 10 3 3 6" xfId="4776" xr:uid="{00000000-0005-0000-0000-0000931A0000}"/>
    <cellStyle name="Normal 2 10 3 3 7" xfId="6222" xr:uid="{00000000-0005-0000-0000-0000941A0000}"/>
    <cellStyle name="Normal 2 10 3 3 8" xfId="7660" xr:uid="{00000000-0005-0000-0000-0000951A0000}"/>
    <cellStyle name="Normal 2 10 3 3 9" xfId="9097" xr:uid="{00000000-0005-0000-0000-0000961A0000}"/>
    <cellStyle name="Normal 2 10 3 4" xfId="511" xr:uid="{00000000-0005-0000-0000-0000971A0000}"/>
    <cellStyle name="Normal 2 10 3 4 2" xfId="990" xr:uid="{00000000-0005-0000-0000-0000981A0000}"/>
    <cellStyle name="Normal 2 10 3 4 2 2" xfId="2481" xr:uid="{00000000-0005-0000-0000-0000991A0000}"/>
    <cellStyle name="Normal 2 10 3 4 2 3" xfId="3928" xr:uid="{00000000-0005-0000-0000-00009A1A0000}"/>
    <cellStyle name="Normal 2 10 3 4 2 4" xfId="5365" xr:uid="{00000000-0005-0000-0000-00009B1A0000}"/>
    <cellStyle name="Normal 2 10 3 4 2 5" xfId="6811" xr:uid="{00000000-0005-0000-0000-00009C1A0000}"/>
    <cellStyle name="Normal 2 10 3 4 2 6" xfId="8251" xr:uid="{00000000-0005-0000-0000-00009D1A0000}"/>
    <cellStyle name="Normal 2 10 3 4 2 7" xfId="9685" xr:uid="{00000000-0005-0000-0000-00009E1A0000}"/>
    <cellStyle name="Normal 2 10 3 4 3" xfId="1542" xr:uid="{00000000-0005-0000-0000-00009F1A0000}"/>
    <cellStyle name="Normal 2 10 3 4 3 2" xfId="3015" xr:uid="{00000000-0005-0000-0000-0000A01A0000}"/>
    <cellStyle name="Normal 2 10 3 4 3 3" xfId="4452" xr:uid="{00000000-0005-0000-0000-0000A11A0000}"/>
    <cellStyle name="Normal 2 10 3 4 3 4" xfId="5889" xr:uid="{00000000-0005-0000-0000-0000A21A0000}"/>
    <cellStyle name="Normal 2 10 3 4 3 5" xfId="7335" xr:uid="{00000000-0005-0000-0000-0000A31A0000}"/>
    <cellStyle name="Normal 2 10 3 4 3 6" xfId="8776" xr:uid="{00000000-0005-0000-0000-0000A41A0000}"/>
    <cellStyle name="Normal 2 10 3 4 3 7" xfId="10209" xr:uid="{00000000-0005-0000-0000-0000A51A0000}"/>
    <cellStyle name="Normal 2 10 3 4 4" xfId="2014" xr:uid="{00000000-0005-0000-0000-0000A61A0000}"/>
    <cellStyle name="Normal 2 10 3 4 5" xfId="3471" xr:uid="{00000000-0005-0000-0000-0000A71A0000}"/>
    <cellStyle name="Normal 2 10 3 4 6" xfId="4908" xr:uid="{00000000-0005-0000-0000-0000A81A0000}"/>
    <cellStyle name="Normal 2 10 3 4 7" xfId="6354" xr:uid="{00000000-0005-0000-0000-0000A91A0000}"/>
    <cellStyle name="Normal 2 10 3 4 8" xfId="7792" xr:uid="{00000000-0005-0000-0000-0000AA1A0000}"/>
    <cellStyle name="Normal 2 10 3 4 9" xfId="9229" xr:uid="{00000000-0005-0000-0000-0000AB1A0000}"/>
    <cellStyle name="Normal 2 10 3 5" xfId="576" xr:uid="{00000000-0005-0000-0000-0000AC1A0000}"/>
    <cellStyle name="Normal 2 10 3 5 2" xfId="1055" xr:uid="{00000000-0005-0000-0000-0000AD1A0000}"/>
    <cellStyle name="Normal 2 10 3 5 2 2" xfId="2546" xr:uid="{00000000-0005-0000-0000-0000AE1A0000}"/>
    <cellStyle name="Normal 2 10 3 5 2 3" xfId="3993" xr:uid="{00000000-0005-0000-0000-0000AF1A0000}"/>
    <cellStyle name="Normal 2 10 3 5 2 4" xfId="5430" xr:uid="{00000000-0005-0000-0000-0000B01A0000}"/>
    <cellStyle name="Normal 2 10 3 5 2 5" xfId="6876" xr:uid="{00000000-0005-0000-0000-0000B11A0000}"/>
    <cellStyle name="Normal 2 10 3 5 2 6" xfId="8316" xr:uid="{00000000-0005-0000-0000-0000B21A0000}"/>
    <cellStyle name="Normal 2 10 3 5 2 7" xfId="9750" xr:uid="{00000000-0005-0000-0000-0000B31A0000}"/>
    <cellStyle name="Normal 2 10 3 5 3" xfId="1607" xr:uid="{00000000-0005-0000-0000-0000B41A0000}"/>
    <cellStyle name="Normal 2 10 3 5 3 2" xfId="3080" xr:uid="{00000000-0005-0000-0000-0000B51A0000}"/>
    <cellStyle name="Normal 2 10 3 5 3 3" xfId="4517" xr:uid="{00000000-0005-0000-0000-0000B61A0000}"/>
    <cellStyle name="Normal 2 10 3 5 3 4" xfId="5954" xr:uid="{00000000-0005-0000-0000-0000B71A0000}"/>
    <cellStyle name="Normal 2 10 3 5 3 5" xfId="7400" xr:uid="{00000000-0005-0000-0000-0000B81A0000}"/>
    <cellStyle name="Normal 2 10 3 5 3 6" xfId="8841" xr:uid="{00000000-0005-0000-0000-0000B91A0000}"/>
    <cellStyle name="Normal 2 10 3 5 3 7" xfId="10274" xr:uid="{00000000-0005-0000-0000-0000BA1A0000}"/>
    <cellStyle name="Normal 2 10 3 5 4" xfId="2079" xr:uid="{00000000-0005-0000-0000-0000BB1A0000}"/>
    <cellStyle name="Normal 2 10 3 5 5" xfId="3536" xr:uid="{00000000-0005-0000-0000-0000BC1A0000}"/>
    <cellStyle name="Normal 2 10 3 5 6" xfId="4973" xr:uid="{00000000-0005-0000-0000-0000BD1A0000}"/>
    <cellStyle name="Normal 2 10 3 5 7" xfId="6419" xr:uid="{00000000-0005-0000-0000-0000BE1A0000}"/>
    <cellStyle name="Normal 2 10 3 5 8" xfId="7857" xr:uid="{00000000-0005-0000-0000-0000BF1A0000}"/>
    <cellStyle name="Normal 2 10 3 5 9" xfId="9293" xr:uid="{00000000-0005-0000-0000-0000C01A0000}"/>
    <cellStyle name="Normal 2 10 3 6" xfId="718" xr:uid="{00000000-0005-0000-0000-0000C11A0000}"/>
    <cellStyle name="Normal 2 10 3 6 2" xfId="2209" xr:uid="{00000000-0005-0000-0000-0000C21A0000}"/>
    <cellStyle name="Normal 2 10 3 6 3" xfId="3666" xr:uid="{00000000-0005-0000-0000-0000C31A0000}"/>
    <cellStyle name="Normal 2 10 3 6 4" xfId="5103" xr:uid="{00000000-0005-0000-0000-0000C41A0000}"/>
    <cellStyle name="Normal 2 10 3 6 5" xfId="6549" xr:uid="{00000000-0005-0000-0000-0000C51A0000}"/>
    <cellStyle name="Normal 2 10 3 6 6" xfId="7988" xr:uid="{00000000-0005-0000-0000-0000C61A0000}"/>
    <cellStyle name="Normal 2 10 3 6 7" xfId="9423" xr:uid="{00000000-0005-0000-0000-0000C71A0000}"/>
    <cellStyle name="Normal 2 10 3 7" xfId="1209" xr:uid="{00000000-0005-0000-0000-0000C81A0000}"/>
    <cellStyle name="Normal 2 10 3 7 2" xfId="2688" xr:uid="{00000000-0005-0000-0000-0000C91A0000}"/>
    <cellStyle name="Normal 2 10 3 7 3" xfId="4125" xr:uid="{00000000-0005-0000-0000-0000CA1A0000}"/>
    <cellStyle name="Normal 2 10 3 7 4" xfId="5562" xr:uid="{00000000-0005-0000-0000-0000CB1A0000}"/>
    <cellStyle name="Normal 2 10 3 7 5" xfId="7008" xr:uid="{00000000-0005-0000-0000-0000CC1A0000}"/>
    <cellStyle name="Normal 2 10 3 7 6" xfId="8449" xr:uid="{00000000-0005-0000-0000-0000CD1A0000}"/>
    <cellStyle name="Normal 2 10 3 7 7" xfId="9882" xr:uid="{00000000-0005-0000-0000-0000CE1A0000}"/>
    <cellStyle name="Normal 2 10 3 8" xfId="1274" xr:uid="{00000000-0005-0000-0000-0000CF1A0000}"/>
    <cellStyle name="Normal 2 10 3 8 2" xfId="2753" xr:uid="{00000000-0005-0000-0000-0000D01A0000}"/>
    <cellStyle name="Normal 2 10 3 8 3" xfId="4190" xr:uid="{00000000-0005-0000-0000-0000D11A0000}"/>
    <cellStyle name="Normal 2 10 3 8 4" xfId="5627" xr:uid="{00000000-0005-0000-0000-0000D21A0000}"/>
    <cellStyle name="Normal 2 10 3 8 5" xfId="7073" xr:uid="{00000000-0005-0000-0000-0000D31A0000}"/>
    <cellStyle name="Normal 2 10 3 8 6" xfId="8514" xr:uid="{00000000-0005-0000-0000-0000D41A0000}"/>
    <cellStyle name="Normal 2 10 3 8 7" xfId="9947" xr:uid="{00000000-0005-0000-0000-0000D51A0000}"/>
    <cellStyle name="Normal 2 10 3 9" xfId="1752" xr:uid="{00000000-0005-0000-0000-0000D61A0000}"/>
    <cellStyle name="Normal 2 10 4" xfId="270" xr:uid="{00000000-0005-0000-0000-0000D71A0000}"/>
    <cellStyle name="Normal 2 10 4 10" xfId="7561" xr:uid="{00000000-0005-0000-0000-0000D81A0000}"/>
    <cellStyle name="Normal 2 10 4 11" xfId="9000" xr:uid="{00000000-0005-0000-0000-0000D91A0000}"/>
    <cellStyle name="Normal 2 10 4 2" xfId="407" xr:uid="{00000000-0005-0000-0000-0000DA1A0000}"/>
    <cellStyle name="Normal 2 10 4 2 2" xfId="889" xr:uid="{00000000-0005-0000-0000-0000DB1A0000}"/>
    <cellStyle name="Normal 2 10 4 2 2 2" xfId="2380" xr:uid="{00000000-0005-0000-0000-0000DC1A0000}"/>
    <cellStyle name="Normal 2 10 4 2 2 3" xfId="3827" xr:uid="{00000000-0005-0000-0000-0000DD1A0000}"/>
    <cellStyle name="Normal 2 10 4 2 2 4" xfId="5264" xr:uid="{00000000-0005-0000-0000-0000DE1A0000}"/>
    <cellStyle name="Normal 2 10 4 2 2 5" xfId="6710" xr:uid="{00000000-0005-0000-0000-0000DF1A0000}"/>
    <cellStyle name="Normal 2 10 4 2 2 6" xfId="8150" xr:uid="{00000000-0005-0000-0000-0000E01A0000}"/>
    <cellStyle name="Normal 2 10 4 2 2 7" xfId="9584" xr:uid="{00000000-0005-0000-0000-0000E11A0000}"/>
    <cellStyle name="Normal 2 10 4 2 3" xfId="1441" xr:uid="{00000000-0005-0000-0000-0000E21A0000}"/>
    <cellStyle name="Normal 2 10 4 2 3 2" xfId="2914" xr:uid="{00000000-0005-0000-0000-0000E31A0000}"/>
    <cellStyle name="Normal 2 10 4 2 3 3" xfId="4351" xr:uid="{00000000-0005-0000-0000-0000E41A0000}"/>
    <cellStyle name="Normal 2 10 4 2 3 4" xfId="5788" xr:uid="{00000000-0005-0000-0000-0000E51A0000}"/>
    <cellStyle name="Normal 2 10 4 2 3 5" xfId="7234" xr:uid="{00000000-0005-0000-0000-0000E61A0000}"/>
    <cellStyle name="Normal 2 10 4 2 3 6" xfId="8675" xr:uid="{00000000-0005-0000-0000-0000E71A0000}"/>
    <cellStyle name="Normal 2 10 4 2 3 7" xfId="10108" xr:uid="{00000000-0005-0000-0000-0000E81A0000}"/>
    <cellStyle name="Normal 2 10 4 2 4" xfId="1913" xr:uid="{00000000-0005-0000-0000-0000E91A0000}"/>
    <cellStyle name="Normal 2 10 4 2 5" xfId="3370" xr:uid="{00000000-0005-0000-0000-0000EA1A0000}"/>
    <cellStyle name="Normal 2 10 4 2 6" xfId="4807" xr:uid="{00000000-0005-0000-0000-0000EB1A0000}"/>
    <cellStyle name="Normal 2 10 4 2 7" xfId="6253" xr:uid="{00000000-0005-0000-0000-0000EC1A0000}"/>
    <cellStyle name="Normal 2 10 4 2 8" xfId="7691" xr:uid="{00000000-0005-0000-0000-0000ED1A0000}"/>
    <cellStyle name="Normal 2 10 4 2 9" xfId="9128" xr:uid="{00000000-0005-0000-0000-0000EE1A0000}"/>
    <cellStyle name="Normal 2 10 4 3" xfId="611" xr:uid="{00000000-0005-0000-0000-0000EF1A0000}"/>
    <cellStyle name="Normal 2 10 4 3 2" xfId="1090" xr:uid="{00000000-0005-0000-0000-0000F01A0000}"/>
    <cellStyle name="Normal 2 10 4 3 2 2" xfId="2581" xr:uid="{00000000-0005-0000-0000-0000F11A0000}"/>
    <cellStyle name="Normal 2 10 4 3 2 3" xfId="4024" xr:uid="{00000000-0005-0000-0000-0000F21A0000}"/>
    <cellStyle name="Normal 2 10 4 3 2 4" xfId="5461" xr:uid="{00000000-0005-0000-0000-0000F31A0000}"/>
    <cellStyle name="Normal 2 10 4 3 2 5" xfId="6907" xr:uid="{00000000-0005-0000-0000-0000F41A0000}"/>
    <cellStyle name="Normal 2 10 4 3 2 6" xfId="8347" xr:uid="{00000000-0005-0000-0000-0000F51A0000}"/>
    <cellStyle name="Normal 2 10 4 3 2 7" xfId="9781" xr:uid="{00000000-0005-0000-0000-0000F61A0000}"/>
    <cellStyle name="Normal 2 10 4 3 3" xfId="1640" xr:uid="{00000000-0005-0000-0000-0000F71A0000}"/>
    <cellStyle name="Normal 2 10 4 3 3 2" xfId="3111" xr:uid="{00000000-0005-0000-0000-0000F81A0000}"/>
    <cellStyle name="Normal 2 10 4 3 3 3" xfId="4548" xr:uid="{00000000-0005-0000-0000-0000F91A0000}"/>
    <cellStyle name="Normal 2 10 4 3 3 4" xfId="5985" xr:uid="{00000000-0005-0000-0000-0000FA1A0000}"/>
    <cellStyle name="Normal 2 10 4 3 3 5" xfId="7431" xr:uid="{00000000-0005-0000-0000-0000FB1A0000}"/>
    <cellStyle name="Normal 2 10 4 3 3 6" xfId="8872" xr:uid="{00000000-0005-0000-0000-0000FC1A0000}"/>
    <cellStyle name="Normal 2 10 4 3 3 7" xfId="10305" xr:uid="{00000000-0005-0000-0000-0000FD1A0000}"/>
    <cellStyle name="Normal 2 10 4 3 4" xfId="2110" xr:uid="{00000000-0005-0000-0000-0000FE1A0000}"/>
    <cellStyle name="Normal 2 10 4 3 5" xfId="3567" xr:uid="{00000000-0005-0000-0000-0000FF1A0000}"/>
    <cellStyle name="Normal 2 10 4 3 6" xfId="5004" xr:uid="{00000000-0005-0000-0000-0000001B0000}"/>
    <cellStyle name="Normal 2 10 4 3 7" xfId="6450" xr:uid="{00000000-0005-0000-0000-0000011B0000}"/>
    <cellStyle name="Normal 2 10 4 3 8" xfId="7889" xr:uid="{00000000-0005-0000-0000-0000021B0000}"/>
    <cellStyle name="Normal 2 10 4 3 9" xfId="9324" xr:uid="{00000000-0005-0000-0000-0000031B0000}"/>
    <cellStyle name="Normal 2 10 4 4" xfId="753" xr:uid="{00000000-0005-0000-0000-0000041B0000}"/>
    <cellStyle name="Normal 2 10 4 4 2" xfId="2244" xr:uid="{00000000-0005-0000-0000-0000051B0000}"/>
    <cellStyle name="Normal 2 10 4 4 3" xfId="3697" xr:uid="{00000000-0005-0000-0000-0000061B0000}"/>
    <cellStyle name="Normal 2 10 4 4 4" xfId="5134" xr:uid="{00000000-0005-0000-0000-0000071B0000}"/>
    <cellStyle name="Normal 2 10 4 4 5" xfId="6580" xr:uid="{00000000-0005-0000-0000-0000081B0000}"/>
    <cellStyle name="Normal 2 10 4 4 6" xfId="8020" xr:uid="{00000000-0005-0000-0000-0000091B0000}"/>
    <cellStyle name="Normal 2 10 4 4 7" xfId="9454" xr:uid="{00000000-0005-0000-0000-00000A1B0000}"/>
    <cellStyle name="Normal 2 10 4 5" xfId="1309" xr:uid="{00000000-0005-0000-0000-00000B1B0000}"/>
    <cellStyle name="Normal 2 10 4 5 2" xfId="2784" xr:uid="{00000000-0005-0000-0000-00000C1B0000}"/>
    <cellStyle name="Normal 2 10 4 5 3" xfId="4221" xr:uid="{00000000-0005-0000-0000-00000D1B0000}"/>
    <cellStyle name="Normal 2 10 4 5 4" xfId="5658" xr:uid="{00000000-0005-0000-0000-00000E1B0000}"/>
    <cellStyle name="Normal 2 10 4 5 5" xfId="7104" xr:uid="{00000000-0005-0000-0000-00000F1B0000}"/>
    <cellStyle name="Normal 2 10 4 5 6" xfId="8545" xr:uid="{00000000-0005-0000-0000-0000101B0000}"/>
    <cellStyle name="Normal 2 10 4 5 7" xfId="9978" xr:uid="{00000000-0005-0000-0000-0000111B0000}"/>
    <cellStyle name="Normal 2 10 4 6" xfId="1783" xr:uid="{00000000-0005-0000-0000-0000121B0000}"/>
    <cellStyle name="Normal 2 10 4 7" xfId="3240" xr:uid="{00000000-0005-0000-0000-0000131B0000}"/>
    <cellStyle name="Normal 2 10 4 8" xfId="4677" xr:uid="{00000000-0005-0000-0000-0000141B0000}"/>
    <cellStyle name="Normal 2 10 4 9" xfId="6123" xr:uid="{00000000-0005-0000-0000-0000151B0000}"/>
    <cellStyle name="Normal 2 10 5" xfId="338" xr:uid="{00000000-0005-0000-0000-0000161B0000}"/>
    <cellStyle name="Normal 2 10 5 2" xfId="820" xr:uid="{00000000-0005-0000-0000-0000171B0000}"/>
    <cellStyle name="Normal 2 10 5 2 2" xfId="2311" xr:uid="{00000000-0005-0000-0000-0000181B0000}"/>
    <cellStyle name="Normal 2 10 5 2 3" xfId="3762" xr:uid="{00000000-0005-0000-0000-0000191B0000}"/>
    <cellStyle name="Normal 2 10 5 2 4" xfId="5199" xr:uid="{00000000-0005-0000-0000-00001A1B0000}"/>
    <cellStyle name="Normal 2 10 5 2 5" xfId="6645" xr:uid="{00000000-0005-0000-0000-00001B1B0000}"/>
    <cellStyle name="Normal 2 10 5 2 6" xfId="8085" xr:uid="{00000000-0005-0000-0000-00001C1B0000}"/>
    <cellStyle name="Normal 2 10 5 2 7" xfId="9519" xr:uid="{00000000-0005-0000-0000-00001D1B0000}"/>
    <cellStyle name="Normal 2 10 5 3" xfId="1374" xr:uid="{00000000-0005-0000-0000-00001E1B0000}"/>
    <cellStyle name="Normal 2 10 5 3 2" xfId="2849" xr:uid="{00000000-0005-0000-0000-00001F1B0000}"/>
    <cellStyle name="Normal 2 10 5 3 3" xfId="4286" xr:uid="{00000000-0005-0000-0000-0000201B0000}"/>
    <cellStyle name="Normal 2 10 5 3 4" xfId="5723" xr:uid="{00000000-0005-0000-0000-0000211B0000}"/>
    <cellStyle name="Normal 2 10 5 3 5" xfId="7169" xr:uid="{00000000-0005-0000-0000-0000221B0000}"/>
    <cellStyle name="Normal 2 10 5 3 6" xfId="8610" xr:uid="{00000000-0005-0000-0000-0000231B0000}"/>
    <cellStyle name="Normal 2 10 5 3 7" xfId="10043" xr:uid="{00000000-0005-0000-0000-0000241B0000}"/>
    <cellStyle name="Normal 2 10 5 4" xfId="1848" xr:uid="{00000000-0005-0000-0000-0000251B0000}"/>
    <cellStyle name="Normal 2 10 5 5" xfId="3305" xr:uid="{00000000-0005-0000-0000-0000261B0000}"/>
    <cellStyle name="Normal 2 10 5 6" xfId="4742" xr:uid="{00000000-0005-0000-0000-0000271B0000}"/>
    <cellStyle name="Normal 2 10 5 7" xfId="6188" xr:uid="{00000000-0005-0000-0000-0000281B0000}"/>
    <cellStyle name="Normal 2 10 5 8" xfId="7626" xr:uid="{00000000-0005-0000-0000-0000291B0000}"/>
    <cellStyle name="Normal 2 10 5 9" xfId="9063" xr:uid="{00000000-0005-0000-0000-00002A1B0000}"/>
    <cellStyle name="Normal 2 10 6" xfId="477" xr:uid="{00000000-0005-0000-0000-00002B1B0000}"/>
    <cellStyle name="Normal 2 10 6 2" xfId="956" xr:uid="{00000000-0005-0000-0000-00002C1B0000}"/>
    <cellStyle name="Normal 2 10 6 2 2" xfId="2447" xr:uid="{00000000-0005-0000-0000-00002D1B0000}"/>
    <cellStyle name="Normal 2 10 6 2 3" xfId="3894" xr:uid="{00000000-0005-0000-0000-00002E1B0000}"/>
    <cellStyle name="Normal 2 10 6 2 4" xfId="5331" xr:uid="{00000000-0005-0000-0000-00002F1B0000}"/>
    <cellStyle name="Normal 2 10 6 2 5" xfId="6777" xr:uid="{00000000-0005-0000-0000-0000301B0000}"/>
    <cellStyle name="Normal 2 10 6 2 6" xfId="8217" xr:uid="{00000000-0005-0000-0000-0000311B0000}"/>
    <cellStyle name="Normal 2 10 6 2 7" xfId="9651" xr:uid="{00000000-0005-0000-0000-0000321B0000}"/>
    <cellStyle name="Normal 2 10 6 3" xfId="1508" xr:uid="{00000000-0005-0000-0000-0000331B0000}"/>
    <cellStyle name="Normal 2 10 6 3 2" xfId="2981" xr:uid="{00000000-0005-0000-0000-0000341B0000}"/>
    <cellStyle name="Normal 2 10 6 3 3" xfId="4418" xr:uid="{00000000-0005-0000-0000-0000351B0000}"/>
    <cellStyle name="Normal 2 10 6 3 4" xfId="5855" xr:uid="{00000000-0005-0000-0000-0000361B0000}"/>
    <cellStyle name="Normal 2 10 6 3 5" xfId="7301" xr:uid="{00000000-0005-0000-0000-0000371B0000}"/>
    <cellStyle name="Normal 2 10 6 3 6" xfId="8742" xr:uid="{00000000-0005-0000-0000-0000381B0000}"/>
    <cellStyle name="Normal 2 10 6 3 7" xfId="10175" xr:uid="{00000000-0005-0000-0000-0000391B0000}"/>
    <cellStyle name="Normal 2 10 6 4" xfId="1980" xr:uid="{00000000-0005-0000-0000-00003A1B0000}"/>
    <cellStyle name="Normal 2 10 6 5" xfId="3437" xr:uid="{00000000-0005-0000-0000-00003B1B0000}"/>
    <cellStyle name="Normal 2 10 6 6" xfId="4874" xr:uid="{00000000-0005-0000-0000-00003C1B0000}"/>
    <cellStyle name="Normal 2 10 6 7" xfId="6320" xr:uid="{00000000-0005-0000-0000-00003D1B0000}"/>
    <cellStyle name="Normal 2 10 6 8" xfId="7758" xr:uid="{00000000-0005-0000-0000-00003E1B0000}"/>
    <cellStyle name="Normal 2 10 6 9" xfId="9195" xr:uid="{00000000-0005-0000-0000-00003F1B0000}"/>
    <cellStyle name="Normal 2 10 7" xfId="542" xr:uid="{00000000-0005-0000-0000-0000401B0000}"/>
    <cellStyle name="Normal 2 10 7 2" xfId="1021" xr:uid="{00000000-0005-0000-0000-0000411B0000}"/>
    <cellStyle name="Normal 2 10 7 2 2" xfId="2512" xr:uid="{00000000-0005-0000-0000-0000421B0000}"/>
    <cellStyle name="Normal 2 10 7 2 3" xfId="3959" xr:uid="{00000000-0005-0000-0000-0000431B0000}"/>
    <cellStyle name="Normal 2 10 7 2 4" xfId="5396" xr:uid="{00000000-0005-0000-0000-0000441B0000}"/>
    <cellStyle name="Normal 2 10 7 2 5" xfId="6842" xr:uid="{00000000-0005-0000-0000-0000451B0000}"/>
    <cellStyle name="Normal 2 10 7 2 6" xfId="8282" xr:uid="{00000000-0005-0000-0000-0000461B0000}"/>
    <cellStyle name="Normal 2 10 7 2 7" xfId="9716" xr:uid="{00000000-0005-0000-0000-0000471B0000}"/>
    <cellStyle name="Normal 2 10 7 3" xfId="1573" xr:uid="{00000000-0005-0000-0000-0000481B0000}"/>
    <cellStyle name="Normal 2 10 7 3 2" xfId="3046" xr:uid="{00000000-0005-0000-0000-0000491B0000}"/>
    <cellStyle name="Normal 2 10 7 3 3" xfId="4483" xr:uid="{00000000-0005-0000-0000-00004A1B0000}"/>
    <cellStyle name="Normal 2 10 7 3 4" xfId="5920" xr:uid="{00000000-0005-0000-0000-00004B1B0000}"/>
    <cellStyle name="Normal 2 10 7 3 5" xfId="7366" xr:uid="{00000000-0005-0000-0000-00004C1B0000}"/>
    <cellStyle name="Normal 2 10 7 3 6" xfId="8807" xr:uid="{00000000-0005-0000-0000-00004D1B0000}"/>
    <cellStyle name="Normal 2 10 7 3 7" xfId="10240" xr:uid="{00000000-0005-0000-0000-00004E1B0000}"/>
    <cellStyle name="Normal 2 10 7 4" xfId="2045" xr:uid="{00000000-0005-0000-0000-00004F1B0000}"/>
    <cellStyle name="Normal 2 10 7 5" xfId="3502" xr:uid="{00000000-0005-0000-0000-0000501B0000}"/>
    <cellStyle name="Normal 2 10 7 6" xfId="4939" xr:uid="{00000000-0005-0000-0000-0000511B0000}"/>
    <cellStyle name="Normal 2 10 7 7" xfId="6385" xr:uid="{00000000-0005-0000-0000-0000521B0000}"/>
    <cellStyle name="Normal 2 10 7 8" xfId="7823" xr:uid="{00000000-0005-0000-0000-0000531B0000}"/>
    <cellStyle name="Normal 2 10 7 9" xfId="9259" xr:uid="{00000000-0005-0000-0000-0000541B0000}"/>
    <cellStyle name="Normal 2 10 8" xfId="684" xr:uid="{00000000-0005-0000-0000-0000551B0000}"/>
    <cellStyle name="Normal 2 10 8 2" xfId="2175" xr:uid="{00000000-0005-0000-0000-0000561B0000}"/>
    <cellStyle name="Normal 2 10 8 3" xfId="3632" xr:uid="{00000000-0005-0000-0000-0000571B0000}"/>
    <cellStyle name="Normal 2 10 8 4" xfId="5069" xr:uid="{00000000-0005-0000-0000-0000581B0000}"/>
    <cellStyle name="Normal 2 10 8 5" xfId="6515" xr:uid="{00000000-0005-0000-0000-0000591B0000}"/>
    <cellStyle name="Normal 2 10 8 6" xfId="7954" xr:uid="{00000000-0005-0000-0000-00005A1B0000}"/>
    <cellStyle name="Normal 2 10 8 7" xfId="9389" xr:uid="{00000000-0005-0000-0000-00005B1B0000}"/>
    <cellStyle name="Normal 2 10 9" xfId="1175" xr:uid="{00000000-0005-0000-0000-00005C1B0000}"/>
    <cellStyle name="Normal 2 10 9 2" xfId="2654" xr:uid="{00000000-0005-0000-0000-00005D1B0000}"/>
    <cellStyle name="Normal 2 10 9 3" xfId="4091" xr:uid="{00000000-0005-0000-0000-00005E1B0000}"/>
    <cellStyle name="Normal 2 10 9 4" xfId="5528" xr:uid="{00000000-0005-0000-0000-00005F1B0000}"/>
    <cellStyle name="Normal 2 10 9 5" xfId="6974" xr:uid="{00000000-0005-0000-0000-0000601B0000}"/>
    <cellStyle name="Normal 2 10 9 6" xfId="8415" xr:uid="{00000000-0005-0000-0000-0000611B0000}"/>
    <cellStyle name="Normal 2 10 9 7" xfId="9848" xr:uid="{00000000-0005-0000-0000-0000621B0000}"/>
    <cellStyle name="Normal 2 11" xfId="463" xr:uid="{00000000-0005-0000-0000-0000631B0000}"/>
    <cellStyle name="Normal 2 11 2" xfId="942" xr:uid="{00000000-0005-0000-0000-0000641B0000}"/>
    <cellStyle name="Normal 2 11 2 2" xfId="2433" xr:uid="{00000000-0005-0000-0000-0000651B0000}"/>
    <cellStyle name="Normal 2 11 2 3" xfId="3880" xr:uid="{00000000-0005-0000-0000-0000661B0000}"/>
    <cellStyle name="Normal 2 11 2 4" xfId="5317" xr:uid="{00000000-0005-0000-0000-0000671B0000}"/>
    <cellStyle name="Normal 2 11 2 5" xfId="6763" xr:uid="{00000000-0005-0000-0000-0000681B0000}"/>
    <cellStyle name="Normal 2 11 2 6" xfId="8203" xr:uid="{00000000-0005-0000-0000-0000691B0000}"/>
    <cellStyle name="Normal 2 11 2 7" xfId="9637" xr:uid="{00000000-0005-0000-0000-00006A1B0000}"/>
    <cellStyle name="Normal 2 11 3" xfId="1494" xr:uid="{00000000-0005-0000-0000-00006B1B0000}"/>
    <cellStyle name="Normal 2 11 3 2" xfId="2967" xr:uid="{00000000-0005-0000-0000-00006C1B0000}"/>
    <cellStyle name="Normal 2 11 3 3" xfId="4404" xr:uid="{00000000-0005-0000-0000-00006D1B0000}"/>
    <cellStyle name="Normal 2 11 3 4" xfId="5841" xr:uid="{00000000-0005-0000-0000-00006E1B0000}"/>
    <cellStyle name="Normal 2 11 3 5" xfId="7287" xr:uid="{00000000-0005-0000-0000-00006F1B0000}"/>
    <cellStyle name="Normal 2 11 3 6" xfId="8728" xr:uid="{00000000-0005-0000-0000-0000701B0000}"/>
    <cellStyle name="Normal 2 11 3 7" xfId="10161" xr:uid="{00000000-0005-0000-0000-0000711B0000}"/>
    <cellStyle name="Normal 2 11 4" xfId="1966" xr:uid="{00000000-0005-0000-0000-0000721B0000}"/>
    <cellStyle name="Normal 2 11 5" xfId="3423" xr:uid="{00000000-0005-0000-0000-0000731B0000}"/>
    <cellStyle name="Normal 2 11 6" xfId="4860" xr:uid="{00000000-0005-0000-0000-0000741B0000}"/>
    <cellStyle name="Normal 2 11 7" xfId="6306" xr:uid="{00000000-0005-0000-0000-0000751B0000}"/>
    <cellStyle name="Normal 2 11 8" xfId="7744" xr:uid="{00000000-0005-0000-0000-0000761B0000}"/>
    <cellStyle name="Normal 2 11 9" xfId="9181" xr:uid="{00000000-0005-0000-0000-0000771B0000}"/>
    <cellStyle name="Normal 2 12" xfId="1161" xr:uid="{00000000-0005-0000-0000-0000781B0000}"/>
    <cellStyle name="Normal 2 12 2" xfId="2640" xr:uid="{00000000-0005-0000-0000-0000791B0000}"/>
    <cellStyle name="Normal 2 12 3" xfId="4077" xr:uid="{00000000-0005-0000-0000-00007A1B0000}"/>
    <cellStyle name="Normal 2 12 4" xfId="5514" xr:uid="{00000000-0005-0000-0000-00007B1B0000}"/>
    <cellStyle name="Normal 2 12 5" xfId="6960" xr:uid="{00000000-0005-0000-0000-00007C1B0000}"/>
    <cellStyle name="Normal 2 12 6" xfId="8401" xr:uid="{00000000-0005-0000-0000-00007D1B0000}"/>
    <cellStyle name="Normal 2 12 7" xfId="9834" xr:uid="{00000000-0005-0000-0000-00007E1B0000}"/>
    <cellStyle name="Normal 2 2" xfId="51" xr:uid="{00000000-0005-0000-0000-00007F1B0000}"/>
    <cellStyle name="Normal 2 2 2" xfId="52" xr:uid="{00000000-0005-0000-0000-0000801B0000}"/>
    <cellStyle name="Normal 2 2 2 2" xfId="107" xr:uid="{00000000-0005-0000-0000-0000811B0000}"/>
    <cellStyle name="Normal 2 2 2 2 2" xfId="207" xr:uid="{00000000-0005-0000-0000-0000821B0000}"/>
    <cellStyle name="Normal 2 2 2 3" xfId="159" xr:uid="{00000000-0005-0000-0000-0000831B0000}"/>
    <cellStyle name="Normal 2 2 3" xfId="106" xr:uid="{00000000-0005-0000-0000-0000841B0000}"/>
    <cellStyle name="Normal 2 2 3 2" xfId="206" xr:uid="{00000000-0005-0000-0000-0000851B0000}"/>
    <cellStyle name="Normal 2 2 4" xfId="158" xr:uid="{00000000-0005-0000-0000-0000861B0000}"/>
    <cellStyle name="Normal 2 3" xfId="53" xr:uid="{00000000-0005-0000-0000-0000871B0000}"/>
    <cellStyle name="Normal 2 3 2" xfId="108" xr:uid="{00000000-0005-0000-0000-0000881B0000}"/>
    <cellStyle name="Normal 2 3 2 2" xfId="208" xr:uid="{00000000-0005-0000-0000-0000891B0000}"/>
    <cellStyle name="Normal 2 3 3" xfId="160" xr:uid="{00000000-0005-0000-0000-00008A1B0000}"/>
    <cellStyle name="Normal 2 4" xfId="54" xr:uid="{00000000-0005-0000-0000-00008B1B0000}"/>
    <cellStyle name="Normal 2 4 2" xfId="55" xr:uid="{00000000-0005-0000-0000-00008C1B0000}"/>
    <cellStyle name="Normal 2 4 3" xfId="124" xr:uid="{00000000-0005-0000-0000-00008D1B0000}"/>
    <cellStyle name="Normal 2 4 3 10" xfId="3176" xr:uid="{00000000-0005-0000-0000-00008E1B0000}"/>
    <cellStyle name="Normal 2 4 3 11" xfId="4613" xr:uid="{00000000-0005-0000-0000-00008F1B0000}"/>
    <cellStyle name="Normal 2 4 3 12" xfId="6059" xr:uid="{00000000-0005-0000-0000-0000901B0000}"/>
    <cellStyle name="Normal 2 4 3 13" xfId="7497" xr:uid="{00000000-0005-0000-0000-0000911B0000}"/>
    <cellStyle name="Normal 2 4 3 14" xfId="8937" xr:uid="{00000000-0005-0000-0000-0000921B0000}"/>
    <cellStyle name="Normal 2 4 3 2" xfId="271" xr:uid="{00000000-0005-0000-0000-0000931B0000}"/>
    <cellStyle name="Normal 2 4 3 2 10" xfId="7562" xr:uid="{00000000-0005-0000-0000-0000941B0000}"/>
    <cellStyle name="Normal 2 4 3 2 11" xfId="9001" xr:uid="{00000000-0005-0000-0000-0000951B0000}"/>
    <cellStyle name="Normal 2 4 3 2 2" xfId="408" xr:uid="{00000000-0005-0000-0000-0000961B0000}"/>
    <cellStyle name="Normal 2 4 3 2 2 2" xfId="890" xr:uid="{00000000-0005-0000-0000-0000971B0000}"/>
    <cellStyle name="Normal 2 4 3 2 2 2 2" xfId="2381" xr:uid="{00000000-0005-0000-0000-0000981B0000}"/>
    <cellStyle name="Normal 2 4 3 2 2 2 3" xfId="3828" xr:uid="{00000000-0005-0000-0000-0000991B0000}"/>
    <cellStyle name="Normal 2 4 3 2 2 2 4" xfId="5265" xr:uid="{00000000-0005-0000-0000-00009A1B0000}"/>
    <cellStyle name="Normal 2 4 3 2 2 2 5" xfId="6711" xr:uid="{00000000-0005-0000-0000-00009B1B0000}"/>
    <cellStyle name="Normal 2 4 3 2 2 2 6" xfId="8151" xr:uid="{00000000-0005-0000-0000-00009C1B0000}"/>
    <cellStyle name="Normal 2 4 3 2 2 2 7" xfId="9585" xr:uid="{00000000-0005-0000-0000-00009D1B0000}"/>
    <cellStyle name="Normal 2 4 3 2 2 3" xfId="1442" xr:uid="{00000000-0005-0000-0000-00009E1B0000}"/>
    <cellStyle name="Normal 2 4 3 2 2 3 2" xfId="2915" xr:uid="{00000000-0005-0000-0000-00009F1B0000}"/>
    <cellStyle name="Normal 2 4 3 2 2 3 3" xfId="4352" xr:uid="{00000000-0005-0000-0000-0000A01B0000}"/>
    <cellStyle name="Normal 2 4 3 2 2 3 4" xfId="5789" xr:uid="{00000000-0005-0000-0000-0000A11B0000}"/>
    <cellStyle name="Normal 2 4 3 2 2 3 5" xfId="7235" xr:uid="{00000000-0005-0000-0000-0000A21B0000}"/>
    <cellStyle name="Normal 2 4 3 2 2 3 6" xfId="8676" xr:uid="{00000000-0005-0000-0000-0000A31B0000}"/>
    <cellStyle name="Normal 2 4 3 2 2 3 7" xfId="10109" xr:uid="{00000000-0005-0000-0000-0000A41B0000}"/>
    <cellStyle name="Normal 2 4 3 2 2 4" xfId="1914" xr:uid="{00000000-0005-0000-0000-0000A51B0000}"/>
    <cellStyle name="Normal 2 4 3 2 2 5" xfId="3371" xr:uid="{00000000-0005-0000-0000-0000A61B0000}"/>
    <cellStyle name="Normal 2 4 3 2 2 6" xfId="4808" xr:uid="{00000000-0005-0000-0000-0000A71B0000}"/>
    <cellStyle name="Normal 2 4 3 2 2 7" xfId="6254" xr:uid="{00000000-0005-0000-0000-0000A81B0000}"/>
    <cellStyle name="Normal 2 4 3 2 2 8" xfId="7692" xr:uid="{00000000-0005-0000-0000-0000A91B0000}"/>
    <cellStyle name="Normal 2 4 3 2 2 9" xfId="9129" xr:uid="{00000000-0005-0000-0000-0000AA1B0000}"/>
    <cellStyle name="Normal 2 4 3 2 3" xfId="612" xr:uid="{00000000-0005-0000-0000-0000AB1B0000}"/>
    <cellStyle name="Normal 2 4 3 2 3 2" xfId="1091" xr:uid="{00000000-0005-0000-0000-0000AC1B0000}"/>
    <cellStyle name="Normal 2 4 3 2 3 2 2" xfId="2582" xr:uid="{00000000-0005-0000-0000-0000AD1B0000}"/>
    <cellStyle name="Normal 2 4 3 2 3 2 3" xfId="4025" xr:uid="{00000000-0005-0000-0000-0000AE1B0000}"/>
    <cellStyle name="Normal 2 4 3 2 3 2 4" xfId="5462" xr:uid="{00000000-0005-0000-0000-0000AF1B0000}"/>
    <cellStyle name="Normal 2 4 3 2 3 2 5" xfId="6908" xr:uid="{00000000-0005-0000-0000-0000B01B0000}"/>
    <cellStyle name="Normal 2 4 3 2 3 2 6" xfId="8348" xr:uid="{00000000-0005-0000-0000-0000B11B0000}"/>
    <cellStyle name="Normal 2 4 3 2 3 2 7" xfId="9782" xr:uid="{00000000-0005-0000-0000-0000B21B0000}"/>
    <cellStyle name="Normal 2 4 3 2 3 3" xfId="1641" xr:uid="{00000000-0005-0000-0000-0000B31B0000}"/>
    <cellStyle name="Normal 2 4 3 2 3 3 2" xfId="3112" xr:uid="{00000000-0005-0000-0000-0000B41B0000}"/>
    <cellStyle name="Normal 2 4 3 2 3 3 3" xfId="4549" xr:uid="{00000000-0005-0000-0000-0000B51B0000}"/>
    <cellStyle name="Normal 2 4 3 2 3 3 4" xfId="5986" xr:uid="{00000000-0005-0000-0000-0000B61B0000}"/>
    <cellStyle name="Normal 2 4 3 2 3 3 5" xfId="7432" xr:uid="{00000000-0005-0000-0000-0000B71B0000}"/>
    <cellStyle name="Normal 2 4 3 2 3 3 6" xfId="8873" xr:uid="{00000000-0005-0000-0000-0000B81B0000}"/>
    <cellStyle name="Normal 2 4 3 2 3 3 7" xfId="10306" xr:uid="{00000000-0005-0000-0000-0000B91B0000}"/>
    <cellStyle name="Normal 2 4 3 2 3 4" xfId="2111" xr:uid="{00000000-0005-0000-0000-0000BA1B0000}"/>
    <cellStyle name="Normal 2 4 3 2 3 5" xfId="3568" xr:uid="{00000000-0005-0000-0000-0000BB1B0000}"/>
    <cellStyle name="Normal 2 4 3 2 3 6" xfId="5005" xr:uid="{00000000-0005-0000-0000-0000BC1B0000}"/>
    <cellStyle name="Normal 2 4 3 2 3 7" xfId="6451" xr:uid="{00000000-0005-0000-0000-0000BD1B0000}"/>
    <cellStyle name="Normal 2 4 3 2 3 8" xfId="7890" xr:uid="{00000000-0005-0000-0000-0000BE1B0000}"/>
    <cellStyle name="Normal 2 4 3 2 3 9" xfId="9325" xr:uid="{00000000-0005-0000-0000-0000BF1B0000}"/>
    <cellStyle name="Normal 2 4 3 2 4" xfId="754" xr:uid="{00000000-0005-0000-0000-0000C01B0000}"/>
    <cellStyle name="Normal 2 4 3 2 4 2" xfId="2245" xr:uid="{00000000-0005-0000-0000-0000C11B0000}"/>
    <cellStyle name="Normal 2 4 3 2 4 3" xfId="3698" xr:uid="{00000000-0005-0000-0000-0000C21B0000}"/>
    <cellStyle name="Normal 2 4 3 2 4 4" xfId="5135" xr:uid="{00000000-0005-0000-0000-0000C31B0000}"/>
    <cellStyle name="Normal 2 4 3 2 4 5" xfId="6581" xr:uid="{00000000-0005-0000-0000-0000C41B0000}"/>
    <cellStyle name="Normal 2 4 3 2 4 6" xfId="8021" xr:uid="{00000000-0005-0000-0000-0000C51B0000}"/>
    <cellStyle name="Normal 2 4 3 2 4 7" xfId="9455" xr:uid="{00000000-0005-0000-0000-0000C61B0000}"/>
    <cellStyle name="Normal 2 4 3 2 5" xfId="1310" xr:uid="{00000000-0005-0000-0000-0000C71B0000}"/>
    <cellStyle name="Normal 2 4 3 2 5 2" xfId="2785" xr:uid="{00000000-0005-0000-0000-0000C81B0000}"/>
    <cellStyle name="Normal 2 4 3 2 5 3" xfId="4222" xr:uid="{00000000-0005-0000-0000-0000C91B0000}"/>
    <cellStyle name="Normal 2 4 3 2 5 4" xfId="5659" xr:uid="{00000000-0005-0000-0000-0000CA1B0000}"/>
    <cellStyle name="Normal 2 4 3 2 5 5" xfId="7105" xr:uid="{00000000-0005-0000-0000-0000CB1B0000}"/>
    <cellStyle name="Normal 2 4 3 2 5 6" xfId="8546" xr:uid="{00000000-0005-0000-0000-0000CC1B0000}"/>
    <cellStyle name="Normal 2 4 3 2 5 7" xfId="9979" xr:uid="{00000000-0005-0000-0000-0000CD1B0000}"/>
    <cellStyle name="Normal 2 4 3 2 6" xfId="1784" xr:uid="{00000000-0005-0000-0000-0000CE1B0000}"/>
    <cellStyle name="Normal 2 4 3 2 7" xfId="3241" xr:uid="{00000000-0005-0000-0000-0000CF1B0000}"/>
    <cellStyle name="Normal 2 4 3 2 8" xfId="4678" xr:uid="{00000000-0005-0000-0000-0000D01B0000}"/>
    <cellStyle name="Normal 2 4 3 2 9" xfId="6124" xr:uid="{00000000-0005-0000-0000-0000D11B0000}"/>
    <cellStyle name="Normal 2 4 3 3" xfId="339" xr:uid="{00000000-0005-0000-0000-0000D21B0000}"/>
    <cellStyle name="Normal 2 4 3 3 2" xfId="821" xr:uid="{00000000-0005-0000-0000-0000D31B0000}"/>
    <cellStyle name="Normal 2 4 3 3 2 2" xfId="2312" xr:uid="{00000000-0005-0000-0000-0000D41B0000}"/>
    <cellStyle name="Normal 2 4 3 3 2 3" xfId="3763" xr:uid="{00000000-0005-0000-0000-0000D51B0000}"/>
    <cellStyle name="Normal 2 4 3 3 2 4" xfId="5200" xr:uid="{00000000-0005-0000-0000-0000D61B0000}"/>
    <cellStyle name="Normal 2 4 3 3 2 5" xfId="6646" xr:uid="{00000000-0005-0000-0000-0000D71B0000}"/>
    <cellStyle name="Normal 2 4 3 3 2 6" xfId="8086" xr:uid="{00000000-0005-0000-0000-0000D81B0000}"/>
    <cellStyle name="Normal 2 4 3 3 2 7" xfId="9520" xr:uid="{00000000-0005-0000-0000-0000D91B0000}"/>
    <cellStyle name="Normal 2 4 3 3 3" xfId="1375" xr:uid="{00000000-0005-0000-0000-0000DA1B0000}"/>
    <cellStyle name="Normal 2 4 3 3 3 2" xfId="2850" xr:uid="{00000000-0005-0000-0000-0000DB1B0000}"/>
    <cellStyle name="Normal 2 4 3 3 3 3" xfId="4287" xr:uid="{00000000-0005-0000-0000-0000DC1B0000}"/>
    <cellStyle name="Normal 2 4 3 3 3 4" xfId="5724" xr:uid="{00000000-0005-0000-0000-0000DD1B0000}"/>
    <cellStyle name="Normal 2 4 3 3 3 5" xfId="7170" xr:uid="{00000000-0005-0000-0000-0000DE1B0000}"/>
    <cellStyle name="Normal 2 4 3 3 3 6" xfId="8611" xr:uid="{00000000-0005-0000-0000-0000DF1B0000}"/>
    <cellStyle name="Normal 2 4 3 3 3 7" xfId="10044" xr:uid="{00000000-0005-0000-0000-0000E01B0000}"/>
    <cellStyle name="Normal 2 4 3 3 4" xfId="1849" xr:uid="{00000000-0005-0000-0000-0000E11B0000}"/>
    <cellStyle name="Normal 2 4 3 3 5" xfId="3306" xr:uid="{00000000-0005-0000-0000-0000E21B0000}"/>
    <cellStyle name="Normal 2 4 3 3 6" xfId="4743" xr:uid="{00000000-0005-0000-0000-0000E31B0000}"/>
    <cellStyle name="Normal 2 4 3 3 7" xfId="6189" xr:uid="{00000000-0005-0000-0000-0000E41B0000}"/>
    <cellStyle name="Normal 2 4 3 3 8" xfId="7627" xr:uid="{00000000-0005-0000-0000-0000E51B0000}"/>
    <cellStyle name="Normal 2 4 3 3 9" xfId="9064" xr:uid="{00000000-0005-0000-0000-0000E61B0000}"/>
    <cellStyle name="Normal 2 4 3 4" xfId="478" xr:uid="{00000000-0005-0000-0000-0000E71B0000}"/>
    <cellStyle name="Normal 2 4 3 4 2" xfId="957" xr:uid="{00000000-0005-0000-0000-0000E81B0000}"/>
    <cellStyle name="Normal 2 4 3 4 2 2" xfId="2448" xr:uid="{00000000-0005-0000-0000-0000E91B0000}"/>
    <cellStyle name="Normal 2 4 3 4 2 3" xfId="3895" xr:uid="{00000000-0005-0000-0000-0000EA1B0000}"/>
    <cellStyle name="Normal 2 4 3 4 2 4" xfId="5332" xr:uid="{00000000-0005-0000-0000-0000EB1B0000}"/>
    <cellStyle name="Normal 2 4 3 4 2 5" xfId="6778" xr:uid="{00000000-0005-0000-0000-0000EC1B0000}"/>
    <cellStyle name="Normal 2 4 3 4 2 6" xfId="8218" xr:uid="{00000000-0005-0000-0000-0000ED1B0000}"/>
    <cellStyle name="Normal 2 4 3 4 2 7" xfId="9652" xr:uid="{00000000-0005-0000-0000-0000EE1B0000}"/>
    <cellStyle name="Normal 2 4 3 4 3" xfId="1509" xr:uid="{00000000-0005-0000-0000-0000EF1B0000}"/>
    <cellStyle name="Normal 2 4 3 4 3 2" xfId="2982" xr:uid="{00000000-0005-0000-0000-0000F01B0000}"/>
    <cellStyle name="Normal 2 4 3 4 3 3" xfId="4419" xr:uid="{00000000-0005-0000-0000-0000F11B0000}"/>
    <cellStyle name="Normal 2 4 3 4 3 4" xfId="5856" xr:uid="{00000000-0005-0000-0000-0000F21B0000}"/>
    <cellStyle name="Normal 2 4 3 4 3 5" xfId="7302" xr:uid="{00000000-0005-0000-0000-0000F31B0000}"/>
    <cellStyle name="Normal 2 4 3 4 3 6" xfId="8743" xr:uid="{00000000-0005-0000-0000-0000F41B0000}"/>
    <cellStyle name="Normal 2 4 3 4 3 7" xfId="10176" xr:uid="{00000000-0005-0000-0000-0000F51B0000}"/>
    <cellStyle name="Normal 2 4 3 4 4" xfId="1981" xr:uid="{00000000-0005-0000-0000-0000F61B0000}"/>
    <cellStyle name="Normal 2 4 3 4 5" xfId="3438" xr:uid="{00000000-0005-0000-0000-0000F71B0000}"/>
    <cellStyle name="Normal 2 4 3 4 6" xfId="4875" xr:uid="{00000000-0005-0000-0000-0000F81B0000}"/>
    <cellStyle name="Normal 2 4 3 4 7" xfId="6321" xr:uid="{00000000-0005-0000-0000-0000F91B0000}"/>
    <cellStyle name="Normal 2 4 3 4 8" xfId="7759" xr:uid="{00000000-0005-0000-0000-0000FA1B0000}"/>
    <cellStyle name="Normal 2 4 3 4 9" xfId="9196" xr:uid="{00000000-0005-0000-0000-0000FB1B0000}"/>
    <cellStyle name="Normal 2 4 3 5" xfId="543" xr:uid="{00000000-0005-0000-0000-0000FC1B0000}"/>
    <cellStyle name="Normal 2 4 3 5 2" xfId="1022" xr:uid="{00000000-0005-0000-0000-0000FD1B0000}"/>
    <cellStyle name="Normal 2 4 3 5 2 2" xfId="2513" xr:uid="{00000000-0005-0000-0000-0000FE1B0000}"/>
    <cellStyle name="Normal 2 4 3 5 2 3" xfId="3960" xr:uid="{00000000-0005-0000-0000-0000FF1B0000}"/>
    <cellStyle name="Normal 2 4 3 5 2 4" xfId="5397" xr:uid="{00000000-0005-0000-0000-0000001C0000}"/>
    <cellStyle name="Normal 2 4 3 5 2 5" xfId="6843" xr:uid="{00000000-0005-0000-0000-0000011C0000}"/>
    <cellStyle name="Normal 2 4 3 5 2 6" xfId="8283" xr:uid="{00000000-0005-0000-0000-0000021C0000}"/>
    <cellStyle name="Normal 2 4 3 5 2 7" xfId="9717" xr:uid="{00000000-0005-0000-0000-0000031C0000}"/>
    <cellStyle name="Normal 2 4 3 5 3" xfId="1574" xr:uid="{00000000-0005-0000-0000-0000041C0000}"/>
    <cellStyle name="Normal 2 4 3 5 3 2" xfId="3047" xr:uid="{00000000-0005-0000-0000-0000051C0000}"/>
    <cellStyle name="Normal 2 4 3 5 3 3" xfId="4484" xr:uid="{00000000-0005-0000-0000-0000061C0000}"/>
    <cellStyle name="Normal 2 4 3 5 3 4" xfId="5921" xr:uid="{00000000-0005-0000-0000-0000071C0000}"/>
    <cellStyle name="Normal 2 4 3 5 3 5" xfId="7367" xr:uid="{00000000-0005-0000-0000-0000081C0000}"/>
    <cellStyle name="Normal 2 4 3 5 3 6" xfId="8808" xr:uid="{00000000-0005-0000-0000-0000091C0000}"/>
    <cellStyle name="Normal 2 4 3 5 3 7" xfId="10241" xr:uid="{00000000-0005-0000-0000-00000A1C0000}"/>
    <cellStyle name="Normal 2 4 3 5 4" xfId="2046" xr:uid="{00000000-0005-0000-0000-00000B1C0000}"/>
    <cellStyle name="Normal 2 4 3 5 5" xfId="3503" xr:uid="{00000000-0005-0000-0000-00000C1C0000}"/>
    <cellStyle name="Normal 2 4 3 5 6" xfId="4940" xr:uid="{00000000-0005-0000-0000-00000D1C0000}"/>
    <cellStyle name="Normal 2 4 3 5 7" xfId="6386" xr:uid="{00000000-0005-0000-0000-00000E1C0000}"/>
    <cellStyle name="Normal 2 4 3 5 8" xfId="7824" xr:uid="{00000000-0005-0000-0000-00000F1C0000}"/>
    <cellStyle name="Normal 2 4 3 5 9" xfId="9260" xr:uid="{00000000-0005-0000-0000-0000101C0000}"/>
    <cellStyle name="Normal 2 4 3 6" xfId="685" xr:uid="{00000000-0005-0000-0000-0000111C0000}"/>
    <cellStyle name="Normal 2 4 3 6 2" xfId="2176" xr:uid="{00000000-0005-0000-0000-0000121C0000}"/>
    <cellStyle name="Normal 2 4 3 6 3" xfId="3633" xr:uid="{00000000-0005-0000-0000-0000131C0000}"/>
    <cellStyle name="Normal 2 4 3 6 4" xfId="5070" xr:uid="{00000000-0005-0000-0000-0000141C0000}"/>
    <cellStyle name="Normal 2 4 3 6 5" xfId="6516" xr:uid="{00000000-0005-0000-0000-0000151C0000}"/>
    <cellStyle name="Normal 2 4 3 6 6" xfId="7955" xr:uid="{00000000-0005-0000-0000-0000161C0000}"/>
    <cellStyle name="Normal 2 4 3 6 7" xfId="9390" xr:uid="{00000000-0005-0000-0000-0000171C0000}"/>
    <cellStyle name="Normal 2 4 3 7" xfId="1176" xr:uid="{00000000-0005-0000-0000-0000181C0000}"/>
    <cellStyle name="Normal 2 4 3 7 2" xfId="2655" xr:uid="{00000000-0005-0000-0000-0000191C0000}"/>
    <cellStyle name="Normal 2 4 3 7 3" xfId="4092" xr:uid="{00000000-0005-0000-0000-00001A1C0000}"/>
    <cellStyle name="Normal 2 4 3 7 4" xfId="5529" xr:uid="{00000000-0005-0000-0000-00001B1C0000}"/>
    <cellStyle name="Normal 2 4 3 7 5" xfId="6975" xr:uid="{00000000-0005-0000-0000-00001C1C0000}"/>
    <cellStyle name="Normal 2 4 3 7 6" xfId="8416" xr:uid="{00000000-0005-0000-0000-00001D1C0000}"/>
    <cellStyle name="Normal 2 4 3 7 7" xfId="9849" xr:uid="{00000000-0005-0000-0000-00001E1C0000}"/>
    <cellStyle name="Normal 2 4 3 8" xfId="1241" xr:uid="{00000000-0005-0000-0000-00001F1C0000}"/>
    <cellStyle name="Normal 2 4 3 8 2" xfId="2720" xr:uid="{00000000-0005-0000-0000-0000201C0000}"/>
    <cellStyle name="Normal 2 4 3 8 3" xfId="4157" xr:uid="{00000000-0005-0000-0000-0000211C0000}"/>
    <cellStyle name="Normal 2 4 3 8 4" xfId="5594" xr:uid="{00000000-0005-0000-0000-0000221C0000}"/>
    <cellStyle name="Normal 2 4 3 8 5" xfId="7040" xr:uid="{00000000-0005-0000-0000-0000231C0000}"/>
    <cellStyle name="Normal 2 4 3 8 6" xfId="8481" xr:uid="{00000000-0005-0000-0000-0000241C0000}"/>
    <cellStyle name="Normal 2 4 3 8 7" xfId="9914" xr:uid="{00000000-0005-0000-0000-0000251C0000}"/>
    <cellStyle name="Normal 2 4 3 9" xfId="1719" xr:uid="{00000000-0005-0000-0000-0000261C0000}"/>
    <cellStyle name="Normal 2 4 4" xfId="464" xr:uid="{00000000-0005-0000-0000-0000271C0000}"/>
    <cellStyle name="Normal 2 4 4 2" xfId="943" xr:uid="{00000000-0005-0000-0000-0000281C0000}"/>
    <cellStyle name="Normal 2 4 4 2 2" xfId="2434" xr:uid="{00000000-0005-0000-0000-0000291C0000}"/>
    <cellStyle name="Normal 2 4 4 2 3" xfId="3881" xr:uid="{00000000-0005-0000-0000-00002A1C0000}"/>
    <cellStyle name="Normal 2 4 4 2 4" xfId="5318" xr:uid="{00000000-0005-0000-0000-00002B1C0000}"/>
    <cellStyle name="Normal 2 4 4 2 5" xfId="6764" xr:uid="{00000000-0005-0000-0000-00002C1C0000}"/>
    <cellStyle name="Normal 2 4 4 2 6" xfId="8204" xr:uid="{00000000-0005-0000-0000-00002D1C0000}"/>
    <cellStyle name="Normal 2 4 4 2 7" xfId="9638" xr:uid="{00000000-0005-0000-0000-00002E1C0000}"/>
    <cellStyle name="Normal 2 4 4 3" xfId="1495" xr:uid="{00000000-0005-0000-0000-00002F1C0000}"/>
    <cellStyle name="Normal 2 4 4 3 2" xfId="2968" xr:uid="{00000000-0005-0000-0000-0000301C0000}"/>
    <cellStyle name="Normal 2 4 4 3 3" xfId="4405" xr:uid="{00000000-0005-0000-0000-0000311C0000}"/>
    <cellStyle name="Normal 2 4 4 3 4" xfId="5842" xr:uid="{00000000-0005-0000-0000-0000321C0000}"/>
    <cellStyle name="Normal 2 4 4 3 5" xfId="7288" xr:uid="{00000000-0005-0000-0000-0000331C0000}"/>
    <cellStyle name="Normal 2 4 4 3 6" xfId="8729" xr:uid="{00000000-0005-0000-0000-0000341C0000}"/>
    <cellStyle name="Normal 2 4 4 3 7" xfId="10162" xr:uid="{00000000-0005-0000-0000-0000351C0000}"/>
    <cellStyle name="Normal 2 4 4 4" xfId="1967" xr:uid="{00000000-0005-0000-0000-0000361C0000}"/>
    <cellStyle name="Normal 2 4 4 5" xfId="3424" xr:uid="{00000000-0005-0000-0000-0000371C0000}"/>
    <cellStyle name="Normal 2 4 4 6" xfId="4861" xr:uid="{00000000-0005-0000-0000-0000381C0000}"/>
    <cellStyle name="Normal 2 4 4 7" xfId="6307" xr:uid="{00000000-0005-0000-0000-0000391C0000}"/>
    <cellStyle name="Normal 2 4 4 8" xfId="7745" xr:uid="{00000000-0005-0000-0000-00003A1C0000}"/>
    <cellStyle name="Normal 2 4 4 9" xfId="9182" xr:uid="{00000000-0005-0000-0000-00003B1C0000}"/>
    <cellStyle name="Normal 2 4 5" xfId="1162" xr:uid="{00000000-0005-0000-0000-00003C1C0000}"/>
    <cellStyle name="Normal 2 4 5 2" xfId="2641" xr:uid="{00000000-0005-0000-0000-00003D1C0000}"/>
    <cellStyle name="Normal 2 4 5 3" xfId="4078" xr:uid="{00000000-0005-0000-0000-00003E1C0000}"/>
    <cellStyle name="Normal 2 4 5 4" xfId="5515" xr:uid="{00000000-0005-0000-0000-00003F1C0000}"/>
    <cellStyle name="Normal 2 4 5 5" xfId="6961" xr:uid="{00000000-0005-0000-0000-0000401C0000}"/>
    <cellStyle name="Normal 2 4 5 6" xfId="8402" xr:uid="{00000000-0005-0000-0000-0000411C0000}"/>
    <cellStyle name="Normal 2 4 5 7" xfId="9835" xr:uid="{00000000-0005-0000-0000-0000421C0000}"/>
    <cellStyle name="Normal 2 5" xfId="56" xr:uid="{00000000-0005-0000-0000-0000431C0000}"/>
    <cellStyle name="Normal 2 5 2" xfId="109" xr:uid="{00000000-0005-0000-0000-0000441C0000}"/>
    <cellStyle name="Normal 2 5 2 2" xfId="209" xr:uid="{00000000-0005-0000-0000-0000451C0000}"/>
    <cellStyle name="Normal 2 5 3" xfId="161" xr:uid="{00000000-0005-0000-0000-0000461C0000}"/>
    <cellStyle name="Normal 2 6" xfId="57" xr:uid="{00000000-0005-0000-0000-0000471C0000}"/>
    <cellStyle name="Normal 2 6 2" xfId="110" xr:uid="{00000000-0005-0000-0000-0000481C0000}"/>
    <cellStyle name="Normal 2 6 2 2" xfId="210" xr:uid="{00000000-0005-0000-0000-0000491C0000}"/>
    <cellStyle name="Normal 2 6 3" xfId="162" xr:uid="{00000000-0005-0000-0000-00004A1C0000}"/>
    <cellStyle name="Normal 2 7" xfId="58" xr:uid="{00000000-0005-0000-0000-00004B1C0000}"/>
    <cellStyle name="Normal 2 7 2" xfId="111" xr:uid="{00000000-0005-0000-0000-00004C1C0000}"/>
    <cellStyle name="Normal 2 7 2 2" xfId="211" xr:uid="{00000000-0005-0000-0000-00004D1C0000}"/>
    <cellStyle name="Normal 2 7 3" xfId="163" xr:uid="{00000000-0005-0000-0000-00004E1C0000}"/>
    <cellStyle name="Normal 2 8" xfId="59" xr:uid="{00000000-0005-0000-0000-00004F1C0000}"/>
    <cellStyle name="Normal 2 8 2" xfId="112" xr:uid="{00000000-0005-0000-0000-0000501C0000}"/>
    <cellStyle name="Normal 2 8 2 2" xfId="212" xr:uid="{00000000-0005-0000-0000-0000511C0000}"/>
    <cellStyle name="Normal 2 8 3" xfId="164" xr:uid="{00000000-0005-0000-0000-0000521C0000}"/>
    <cellStyle name="Normal 2 9" xfId="60" xr:uid="{00000000-0005-0000-0000-0000531C0000}"/>
    <cellStyle name="Normal 2 9 2" xfId="165" xr:uid="{00000000-0005-0000-0000-0000541C0000}"/>
    <cellStyle name="Normal 2_Plan de Negocios" xfId="61" xr:uid="{00000000-0005-0000-0000-0000551C0000}"/>
    <cellStyle name="Normal 20" xfId="457" xr:uid="{00000000-0005-0000-0000-0000561C0000}"/>
    <cellStyle name="Normal 20 2" xfId="937" xr:uid="{00000000-0005-0000-0000-0000571C0000}"/>
    <cellStyle name="Normal 20 2 2" xfId="2428" xr:uid="{00000000-0005-0000-0000-0000581C0000}"/>
    <cellStyle name="Normal 20 2 3" xfId="3875" xr:uid="{00000000-0005-0000-0000-0000591C0000}"/>
    <cellStyle name="Normal 20 2 4" xfId="5312" xr:uid="{00000000-0005-0000-0000-00005A1C0000}"/>
    <cellStyle name="Normal 20 2 5" xfId="6758" xr:uid="{00000000-0005-0000-0000-00005B1C0000}"/>
    <cellStyle name="Normal 20 2 6" xfId="8198" xr:uid="{00000000-0005-0000-0000-00005C1C0000}"/>
    <cellStyle name="Normal 20 2 7" xfId="9632" xr:uid="{00000000-0005-0000-0000-00005D1C0000}"/>
    <cellStyle name="Normal 20 3" xfId="1489" xr:uid="{00000000-0005-0000-0000-00005E1C0000}"/>
    <cellStyle name="Normal 20 3 2" xfId="2962" xr:uid="{00000000-0005-0000-0000-00005F1C0000}"/>
    <cellStyle name="Normal 20 3 3" xfId="4399" xr:uid="{00000000-0005-0000-0000-0000601C0000}"/>
    <cellStyle name="Normal 20 3 4" xfId="5836" xr:uid="{00000000-0005-0000-0000-0000611C0000}"/>
    <cellStyle name="Normal 20 3 5" xfId="7282" xr:uid="{00000000-0005-0000-0000-0000621C0000}"/>
    <cellStyle name="Normal 20 3 6" xfId="8723" xr:uid="{00000000-0005-0000-0000-0000631C0000}"/>
    <cellStyle name="Normal 20 3 7" xfId="10156" xr:uid="{00000000-0005-0000-0000-0000641C0000}"/>
    <cellStyle name="Normal 20 4" xfId="1961" xr:uid="{00000000-0005-0000-0000-0000651C0000}"/>
    <cellStyle name="Normal 20 5" xfId="3418" xr:uid="{00000000-0005-0000-0000-0000661C0000}"/>
    <cellStyle name="Normal 20 6" xfId="4855" xr:uid="{00000000-0005-0000-0000-0000671C0000}"/>
    <cellStyle name="Normal 20 7" xfId="6301" xr:uid="{00000000-0005-0000-0000-0000681C0000}"/>
    <cellStyle name="Normal 20 8" xfId="7739" xr:uid="{00000000-0005-0000-0000-0000691C0000}"/>
    <cellStyle name="Normal 20 9" xfId="9176" xr:uid="{00000000-0005-0000-0000-00006A1C0000}"/>
    <cellStyle name="Normal 21" xfId="525" xr:uid="{00000000-0005-0000-0000-00006B1C0000}"/>
    <cellStyle name="Normal 21 2" xfId="1004" xr:uid="{00000000-0005-0000-0000-00006C1C0000}"/>
    <cellStyle name="Normal 21 2 2" xfId="2495" xr:uid="{00000000-0005-0000-0000-00006D1C0000}"/>
    <cellStyle name="Normal 21 2 3" xfId="3942" xr:uid="{00000000-0005-0000-0000-00006E1C0000}"/>
    <cellStyle name="Normal 21 2 4" xfId="5379" xr:uid="{00000000-0005-0000-0000-00006F1C0000}"/>
    <cellStyle name="Normal 21 2 5" xfId="6825" xr:uid="{00000000-0005-0000-0000-0000701C0000}"/>
    <cellStyle name="Normal 21 2 6" xfId="8265" xr:uid="{00000000-0005-0000-0000-0000711C0000}"/>
    <cellStyle name="Normal 21 2 7" xfId="9699" xr:uid="{00000000-0005-0000-0000-0000721C0000}"/>
    <cellStyle name="Normal 21 3" xfId="1556" xr:uid="{00000000-0005-0000-0000-0000731C0000}"/>
    <cellStyle name="Normal 21 3 2" xfId="3029" xr:uid="{00000000-0005-0000-0000-0000741C0000}"/>
    <cellStyle name="Normal 21 3 3" xfId="4466" xr:uid="{00000000-0005-0000-0000-0000751C0000}"/>
    <cellStyle name="Normal 21 3 4" xfId="5903" xr:uid="{00000000-0005-0000-0000-0000761C0000}"/>
    <cellStyle name="Normal 21 3 5" xfId="7349" xr:uid="{00000000-0005-0000-0000-0000771C0000}"/>
    <cellStyle name="Normal 21 3 6" xfId="8790" xr:uid="{00000000-0005-0000-0000-0000781C0000}"/>
    <cellStyle name="Normal 21 3 7" xfId="10223" xr:uid="{00000000-0005-0000-0000-0000791C0000}"/>
    <cellStyle name="Normal 21 4" xfId="2028" xr:uid="{00000000-0005-0000-0000-00007A1C0000}"/>
    <cellStyle name="Normal 21 5" xfId="3485" xr:uid="{00000000-0005-0000-0000-00007B1C0000}"/>
    <cellStyle name="Normal 21 6" xfId="4922" xr:uid="{00000000-0005-0000-0000-00007C1C0000}"/>
    <cellStyle name="Normal 21 7" xfId="6368" xr:uid="{00000000-0005-0000-0000-00007D1C0000}"/>
    <cellStyle name="Normal 21 8" xfId="7806" xr:uid="{00000000-0005-0000-0000-00007E1C0000}"/>
    <cellStyle name="Normal 21 9" xfId="9243" xr:uid="{00000000-0005-0000-0000-00007F1C0000}"/>
    <cellStyle name="Normal 22" xfId="667" xr:uid="{00000000-0005-0000-0000-0000801C0000}"/>
    <cellStyle name="Normal 22 2" xfId="2158" xr:uid="{00000000-0005-0000-0000-0000811C0000}"/>
    <cellStyle name="Normal 22 3" xfId="3615" xr:uid="{00000000-0005-0000-0000-0000821C0000}"/>
    <cellStyle name="Normal 22 4" xfId="5052" xr:uid="{00000000-0005-0000-0000-0000831C0000}"/>
    <cellStyle name="Normal 22 5" xfId="6498" xr:uid="{00000000-0005-0000-0000-0000841C0000}"/>
    <cellStyle name="Normal 22 6" xfId="7937" xr:uid="{00000000-0005-0000-0000-0000851C0000}"/>
    <cellStyle name="Normal 22 7" xfId="9372" xr:uid="{00000000-0005-0000-0000-0000861C0000}"/>
    <cellStyle name="Normal 23" xfId="1156" xr:uid="{00000000-0005-0000-0000-0000871C0000}"/>
    <cellStyle name="Normal 23 2" xfId="2635" xr:uid="{00000000-0005-0000-0000-0000881C0000}"/>
    <cellStyle name="Normal 23 3" xfId="4072" xr:uid="{00000000-0005-0000-0000-0000891C0000}"/>
    <cellStyle name="Normal 23 4" xfId="5509" xr:uid="{00000000-0005-0000-0000-00008A1C0000}"/>
    <cellStyle name="Normal 23 5" xfId="6955" xr:uid="{00000000-0005-0000-0000-00008B1C0000}"/>
    <cellStyle name="Normal 23 6" xfId="8396" xr:uid="{00000000-0005-0000-0000-00008C1C0000}"/>
    <cellStyle name="Normal 23 7" xfId="9829" xr:uid="{00000000-0005-0000-0000-00008D1C0000}"/>
    <cellStyle name="Normal 24" xfId="1223" xr:uid="{00000000-0005-0000-0000-00008E1C0000}"/>
    <cellStyle name="Normal 24 2" xfId="2702" xr:uid="{00000000-0005-0000-0000-00008F1C0000}"/>
    <cellStyle name="Normal 24 3" xfId="4139" xr:uid="{00000000-0005-0000-0000-0000901C0000}"/>
    <cellStyle name="Normal 24 4" xfId="5576" xr:uid="{00000000-0005-0000-0000-0000911C0000}"/>
    <cellStyle name="Normal 24 5" xfId="7022" xr:uid="{00000000-0005-0000-0000-0000921C0000}"/>
    <cellStyle name="Normal 24 6" xfId="8463" xr:uid="{00000000-0005-0000-0000-0000931C0000}"/>
    <cellStyle name="Normal 24 7" xfId="8395" xr:uid="{00000000-0005-0000-0000-0000941C0000}"/>
    <cellStyle name="Normal 24 8" xfId="9896" xr:uid="{00000000-0005-0000-0000-0000951C0000}"/>
    <cellStyle name="Normal 25" xfId="1702" xr:uid="{00000000-0005-0000-0000-0000961C0000}"/>
    <cellStyle name="Normal 26" xfId="3159" xr:uid="{00000000-0005-0000-0000-0000971C0000}"/>
    <cellStyle name="Normal 27" xfId="4596" xr:uid="{00000000-0005-0000-0000-0000981C0000}"/>
    <cellStyle name="Normal 28" xfId="250" xr:uid="{00000000-0005-0000-0000-0000991C0000}"/>
    <cellStyle name="Normal 28 2" xfId="6042" xr:uid="{00000000-0005-0000-0000-00009A1C0000}"/>
    <cellStyle name="Normal 29" xfId="7479" xr:uid="{00000000-0005-0000-0000-00009B1C0000}"/>
    <cellStyle name="Normal 3" xfId="62" xr:uid="{00000000-0005-0000-0000-00009C1C0000}"/>
    <cellStyle name="Normal 3 2" xfId="63" xr:uid="{00000000-0005-0000-0000-00009D1C0000}"/>
    <cellStyle name="Normal 3 3" xfId="80" xr:uid="{00000000-0005-0000-0000-00009E1C0000}"/>
    <cellStyle name="Normal 3 3 10" xfId="3177" xr:uid="{00000000-0005-0000-0000-00009F1C0000}"/>
    <cellStyle name="Normal 3 3 11" xfId="4614" xr:uid="{00000000-0005-0000-0000-0000A01C0000}"/>
    <cellStyle name="Normal 3 3 12" xfId="6060" xr:uid="{00000000-0005-0000-0000-0000A11C0000}"/>
    <cellStyle name="Normal 3 3 13" xfId="7498" xr:uid="{00000000-0005-0000-0000-0000A21C0000}"/>
    <cellStyle name="Normal 3 3 14" xfId="8938" xr:uid="{00000000-0005-0000-0000-0000A31C0000}"/>
    <cellStyle name="Normal 3 3 2" xfId="125" xr:uid="{00000000-0005-0000-0000-0000A41C0000}"/>
    <cellStyle name="Normal 3 3 2 10" xfId="7563" xr:uid="{00000000-0005-0000-0000-0000A51C0000}"/>
    <cellStyle name="Normal 3 3 2 11" xfId="9002" xr:uid="{00000000-0005-0000-0000-0000A61C0000}"/>
    <cellStyle name="Normal 3 3 2 2" xfId="409" xr:uid="{00000000-0005-0000-0000-0000A71C0000}"/>
    <cellStyle name="Normal 3 3 2 2 2" xfId="891" xr:uid="{00000000-0005-0000-0000-0000A81C0000}"/>
    <cellStyle name="Normal 3 3 2 2 2 2" xfId="2382" xr:uid="{00000000-0005-0000-0000-0000A91C0000}"/>
    <cellStyle name="Normal 3 3 2 2 2 3" xfId="3829" xr:uid="{00000000-0005-0000-0000-0000AA1C0000}"/>
    <cellStyle name="Normal 3 3 2 2 2 4" xfId="5266" xr:uid="{00000000-0005-0000-0000-0000AB1C0000}"/>
    <cellStyle name="Normal 3 3 2 2 2 5" xfId="6712" xr:uid="{00000000-0005-0000-0000-0000AC1C0000}"/>
    <cellStyle name="Normal 3 3 2 2 2 6" xfId="8152" xr:uid="{00000000-0005-0000-0000-0000AD1C0000}"/>
    <cellStyle name="Normal 3 3 2 2 2 7" xfId="9586" xr:uid="{00000000-0005-0000-0000-0000AE1C0000}"/>
    <cellStyle name="Normal 3 3 2 2 3" xfId="1443" xr:uid="{00000000-0005-0000-0000-0000AF1C0000}"/>
    <cellStyle name="Normal 3 3 2 2 3 2" xfId="2916" xr:uid="{00000000-0005-0000-0000-0000B01C0000}"/>
    <cellStyle name="Normal 3 3 2 2 3 3" xfId="4353" xr:uid="{00000000-0005-0000-0000-0000B11C0000}"/>
    <cellStyle name="Normal 3 3 2 2 3 4" xfId="5790" xr:uid="{00000000-0005-0000-0000-0000B21C0000}"/>
    <cellStyle name="Normal 3 3 2 2 3 5" xfId="7236" xr:uid="{00000000-0005-0000-0000-0000B31C0000}"/>
    <cellStyle name="Normal 3 3 2 2 3 6" xfId="8677" xr:uid="{00000000-0005-0000-0000-0000B41C0000}"/>
    <cellStyle name="Normal 3 3 2 2 3 7" xfId="10110" xr:uid="{00000000-0005-0000-0000-0000B51C0000}"/>
    <cellStyle name="Normal 3 3 2 2 4" xfId="1915" xr:uid="{00000000-0005-0000-0000-0000B61C0000}"/>
    <cellStyle name="Normal 3 3 2 2 5" xfId="3372" xr:uid="{00000000-0005-0000-0000-0000B71C0000}"/>
    <cellStyle name="Normal 3 3 2 2 6" xfId="4809" xr:uid="{00000000-0005-0000-0000-0000B81C0000}"/>
    <cellStyle name="Normal 3 3 2 2 7" xfId="6255" xr:uid="{00000000-0005-0000-0000-0000B91C0000}"/>
    <cellStyle name="Normal 3 3 2 2 8" xfId="7693" xr:uid="{00000000-0005-0000-0000-0000BA1C0000}"/>
    <cellStyle name="Normal 3 3 2 2 9" xfId="9130" xr:uid="{00000000-0005-0000-0000-0000BB1C0000}"/>
    <cellStyle name="Normal 3 3 2 3" xfId="613" xr:uid="{00000000-0005-0000-0000-0000BC1C0000}"/>
    <cellStyle name="Normal 3 3 2 3 2" xfId="1092" xr:uid="{00000000-0005-0000-0000-0000BD1C0000}"/>
    <cellStyle name="Normal 3 3 2 3 2 2" xfId="2583" xr:uid="{00000000-0005-0000-0000-0000BE1C0000}"/>
    <cellStyle name="Normal 3 3 2 3 2 3" xfId="4026" xr:uid="{00000000-0005-0000-0000-0000BF1C0000}"/>
    <cellStyle name="Normal 3 3 2 3 2 4" xfId="5463" xr:uid="{00000000-0005-0000-0000-0000C01C0000}"/>
    <cellStyle name="Normal 3 3 2 3 2 5" xfId="6909" xr:uid="{00000000-0005-0000-0000-0000C11C0000}"/>
    <cellStyle name="Normal 3 3 2 3 2 6" xfId="8349" xr:uid="{00000000-0005-0000-0000-0000C21C0000}"/>
    <cellStyle name="Normal 3 3 2 3 2 7" xfId="9783" xr:uid="{00000000-0005-0000-0000-0000C31C0000}"/>
    <cellStyle name="Normal 3 3 2 3 3" xfId="1642" xr:uid="{00000000-0005-0000-0000-0000C41C0000}"/>
    <cellStyle name="Normal 3 3 2 3 3 2" xfId="3113" xr:uid="{00000000-0005-0000-0000-0000C51C0000}"/>
    <cellStyle name="Normal 3 3 2 3 3 3" xfId="4550" xr:uid="{00000000-0005-0000-0000-0000C61C0000}"/>
    <cellStyle name="Normal 3 3 2 3 3 4" xfId="5987" xr:uid="{00000000-0005-0000-0000-0000C71C0000}"/>
    <cellStyle name="Normal 3 3 2 3 3 5" xfId="7433" xr:uid="{00000000-0005-0000-0000-0000C81C0000}"/>
    <cellStyle name="Normal 3 3 2 3 3 6" xfId="8874" xr:uid="{00000000-0005-0000-0000-0000C91C0000}"/>
    <cellStyle name="Normal 3 3 2 3 3 7" xfId="10307" xr:uid="{00000000-0005-0000-0000-0000CA1C0000}"/>
    <cellStyle name="Normal 3 3 2 3 4" xfId="2112" xr:uid="{00000000-0005-0000-0000-0000CB1C0000}"/>
    <cellStyle name="Normal 3 3 2 3 5" xfId="3569" xr:uid="{00000000-0005-0000-0000-0000CC1C0000}"/>
    <cellStyle name="Normal 3 3 2 3 6" xfId="5006" xr:uid="{00000000-0005-0000-0000-0000CD1C0000}"/>
    <cellStyle name="Normal 3 3 2 3 7" xfId="6452" xr:uid="{00000000-0005-0000-0000-0000CE1C0000}"/>
    <cellStyle name="Normal 3 3 2 3 8" xfId="7891" xr:uid="{00000000-0005-0000-0000-0000CF1C0000}"/>
    <cellStyle name="Normal 3 3 2 3 9" xfId="9326" xr:uid="{00000000-0005-0000-0000-0000D01C0000}"/>
    <cellStyle name="Normal 3 3 2 4" xfId="755" xr:uid="{00000000-0005-0000-0000-0000D11C0000}"/>
    <cellStyle name="Normal 3 3 2 4 2" xfId="2246" xr:uid="{00000000-0005-0000-0000-0000D21C0000}"/>
    <cellStyle name="Normal 3 3 2 4 3" xfId="3699" xr:uid="{00000000-0005-0000-0000-0000D31C0000}"/>
    <cellStyle name="Normal 3 3 2 4 4" xfId="5136" xr:uid="{00000000-0005-0000-0000-0000D41C0000}"/>
    <cellStyle name="Normal 3 3 2 4 5" xfId="6582" xr:uid="{00000000-0005-0000-0000-0000D51C0000}"/>
    <cellStyle name="Normal 3 3 2 4 6" xfId="8022" xr:uid="{00000000-0005-0000-0000-0000D61C0000}"/>
    <cellStyle name="Normal 3 3 2 4 7" xfId="9456" xr:uid="{00000000-0005-0000-0000-0000D71C0000}"/>
    <cellStyle name="Normal 3 3 2 5" xfId="1311" xr:uid="{00000000-0005-0000-0000-0000D81C0000}"/>
    <cellStyle name="Normal 3 3 2 5 2" xfId="2786" xr:uid="{00000000-0005-0000-0000-0000D91C0000}"/>
    <cellStyle name="Normal 3 3 2 5 3" xfId="4223" xr:uid="{00000000-0005-0000-0000-0000DA1C0000}"/>
    <cellStyle name="Normal 3 3 2 5 4" xfId="5660" xr:uid="{00000000-0005-0000-0000-0000DB1C0000}"/>
    <cellStyle name="Normal 3 3 2 5 5" xfId="7106" xr:uid="{00000000-0005-0000-0000-0000DC1C0000}"/>
    <cellStyle name="Normal 3 3 2 5 6" xfId="8547" xr:uid="{00000000-0005-0000-0000-0000DD1C0000}"/>
    <cellStyle name="Normal 3 3 2 5 7" xfId="9980" xr:uid="{00000000-0005-0000-0000-0000DE1C0000}"/>
    <cellStyle name="Normal 3 3 2 6" xfId="1785" xr:uid="{00000000-0005-0000-0000-0000DF1C0000}"/>
    <cellStyle name="Normal 3 3 2 7" xfId="3242" xr:uid="{00000000-0005-0000-0000-0000E01C0000}"/>
    <cellStyle name="Normal 3 3 2 8" xfId="4679" xr:uid="{00000000-0005-0000-0000-0000E11C0000}"/>
    <cellStyle name="Normal 3 3 2 9" xfId="6125" xr:uid="{00000000-0005-0000-0000-0000E21C0000}"/>
    <cellStyle name="Normal 3 3 3" xfId="340" xr:uid="{00000000-0005-0000-0000-0000E31C0000}"/>
    <cellStyle name="Normal 3 3 3 2" xfId="822" xr:uid="{00000000-0005-0000-0000-0000E41C0000}"/>
    <cellStyle name="Normal 3 3 3 2 2" xfId="2313" xr:uid="{00000000-0005-0000-0000-0000E51C0000}"/>
    <cellStyle name="Normal 3 3 3 2 3" xfId="3764" xr:uid="{00000000-0005-0000-0000-0000E61C0000}"/>
    <cellStyle name="Normal 3 3 3 2 4" xfId="5201" xr:uid="{00000000-0005-0000-0000-0000E71C0000}"/>
    <cellStyle name="Normal 3 3 3 2 5" xfId="6647" xr:uid="{00000000-0005-0000-0000-0000E81C0000}"/>
    <cellStyle name="Normal 3 3 3 2 6" xfId="8087" xr:uid="{00000000-0005-0000-0000-0000E91C0000}"/>
    <cellStyle name="Normal 3 3 3 2 7" xfId="9521" xr:uid="{00000000-0005-0000-0000-0000EA1C0000}"/>
    <cellStyle name="Normal 3 3 3 3" xfId="1376" xr:uid="{00000000-0005-0000-0000-0000EB1C0000}"/>
    <cellStyle name="Normal 3 3 3 3 2" xfId="2851" xr:uid="{00000000-0005-0000-0000-0000EC1C0000}"/>
    <cellStyle name="Normal 3 3 3 3 3" xfId="4288" xr:uid="{00000000-0005-0000-0000-0000ED1C0000}"/>
    <cellStyle name="Normal 3 3 3 3 4" xfId="5725" xr:uid="{00000000-0005-0000-0000-0000EE1C0000}"/>
    <cellStyle name="Normal 3 3 3 3 5" xfId="7171" xr:uid="{00000000-0005-0000-0000-0000EF1C0000}"/>
    <cellStyle name="Normal 3 3 3 3 6" xfId="8612" xr:uid="{00000000-0005-0000-0000-0000F01C0000}"/>
    <cellStyle name="Normal 3 3 3 3 7" xfId="10045" xr:uid="{00000000-0005-0000-0000-0000F11C0000}"/>
    <cellStyle name="Normal 3 3 3 4" xfId="1850" xr:uid="{00000000-0005-0000-0000-0000F21C0000}"/>
    <cellStyle name="Normal 3 3 3 5" xfId="3307" xr:uid="{00000000-0005-0000-0000-0000F31C0000}"/>
    <cellStyle name="Normal 3 3 3 6" xfId="4744" xr:uid="{00000000-0005-0000-0000-0000F41C0000}"/>
    <cellStyle name="Normal 3 3 3 7" xfId="6190" xr:uid="{00000000-0005-0000-0000-0000F51C0000}"/>
    <cellStyle name="Normal 3 3 3 8" xfId="7628" xr:uid="{00000000-0005-0000-0000-0000F61C0000}"/>
    <cellStyle name="Normal 3 3 3 9" xfId="9065" xr:uid="{00000000-0005-0000-0000-0000F71C0000}"/>
    <cellStyle name="Normal 3 3 4" xfId="479" xr:uid="{00000000-0005-0000-0000-0000F81C0000}"/>
    <cellStyle name="Normal 3 3 4 2" xfId="958" xr:uid="{00000000-0005-0000-0000-0000F91C0000}"/>
    <cellStyle name="Normal 3 3 4 2 2" xfId="2449" xr:uid="{00000000-0005-0000-0000-0000FA1C0000}"/>
    <cellStyle name="Normal 3 3 4 2 3" xfId="3896" xr:uid="{00000000-0005-0000-0000-0000FB1C0000}"/>
    <cellStyle name="Normal 3 3 4 2 4" xfId="5333" xr:uid="{00000000-0005-0000-0000-0000FC1C0000}"/>
    <cellStyle name="Normal 3 3 4 2 5" xfId="6779" xr:uid="{00000000-0005-0000-0000-0000FD1C0000}"/>
    <cellStyle name="Normal 3 3 4 2 6" xfId="8219" xr:uid="{00000000-0005-0000-0000-0000FE1C0000}"/>
    <cellStyle name="Normal 3 3 4 2 7" xfId="9653" xr:uid="{00000000-0005-0000-0000-0000FF1C0000}"/>
    <cellStyle name="Normal 3 3 4 3" xfId="1510" xr:uid="{00000000-0005-0000-0000-0000001D0000}"/>
    <cellStyle name="Normal 3 3 4 3 2" xfId="2983" xr:uid="{00000000-0005-0000-0000-0000011D0000}"/>
    <cellStyle name="Normal 3 3 4 3 3" xfId="4420" xr:uid="{00000000-0005-0000-0000-0000021D0000}"/>
    <cellStyle name="Normal 3 3 4 3 4" xfId="5857" xr:uid="{00000000-0005-0000-0000-0000031D0000}"/>
    <cellStyle name="Normal 3 3 4 3 5" xfId="7303" xr:uid="{00000000-0005-0000-0000-0000041D0000}"/>
    <cellStyle name="Normal 3 3 4 3 6" xfId="8744" xr:uid="{00000000-0005-0000-0000-0000051D0000}"/>
    <cellStyle name="Normal 3 3 4 3 7" xfId="10177" xr:uid="{00000000-0005-0000-0000-0000061D0000}"/>
    <cellStyle name="Normal 3 3 4 4" xfId="1982" xr:uid="{00000000-0005-0000-0000-0000071D0000}"/>
    <cellStyle name="Normal 3 3 4 5" xfId="3439" xr:uid="{00000000-0005-0000-0000-0000081D0000}"/>
    <cellStyle name="Normal 3 3 4 6" xfId="4876" xr:uid="{00000000-0005-0000-0000-0000091D0000}"/>
    <cellStyle name="Normal 3 3 4 7" xfId="6322" xr:uid="{00000000-0005-0000-0000-00000A1D0000}"/>
    <cellStyle name="Normal 3 3 4 8" xfId="7760" xr:uid="{00000000-0005-0000-0000-00000B1D0000}"/>
    <cellStyle name="Normal 3 3 4 9" xfId="9197" xr:uid="{00000000-0005-0000-0000-00000C1D0000}"/>
    <cellStyle name="Normal 3 3 5" xfId="544" xr:uid="{00000000-0005-0000-0000-00000D1D0000}"/>
    <cellStyle name="Normal 3 3 5 2" xfId="1023" xr:uid="{00000000-0005-0000-0000-00000E1D0000}"/>
    <cellStyle name="Normal 3 3 5 2 2" xfId="2514" xr:uid="{00000000-0005-0000-0000-00000F1D0000}"/>
    <cellStyle name="Normal 3 3 5 2 3" xfId="3961" xr:uid="{00000000-0005-0000-0000-0000101D0000}"/>
    <cellStyle name="Normal 3 3 5 2 4" xfId="5398" xr:uid="{00000000-0005-0000-0000-0000111D0000}"/>
    <cellStyle name="Normal 3 3 5 2 5" xfId="6844" xr:uid="{00000000-0005-0000-0000-0000121D0000}"/>
    <cellStyle name="Normal 3 3 5 2 6" xfId="8284" xr:uid="{00000000-0005-0000-0000-0000131D0000}"/>
    <cellStyle name="Normal 3 3 5 2 7" xfId="9718" xr:uid="{00000000-0005-0000-0000-0000141D0000}"/>
    <cellStyle name="Normal 3 3 5 3" xfId="1575" xr:uid="{00000000-0005-0000-0000-0000151D0000}"/>
    <cellStyle name="Normal 3 3 5 3 2" xfId="3048" xr:uid="{00000000-0005-0000-0000-0000161D0000}"/>
    <cellStyle name="Normal 3 3 5 3 3" xfId="4485" xr:uid="{00000000-0005-0000-0000-0000171D0000}"/>
    <cellStyle name="Normal 3 3 5 3 4" xfId="5922" xr:uid="{00000000-0005-0000-0000-0000181D0000}"/>
    <cellStyle name="Normal 3 3 5 3 5" xfId="7368" xr:uid="{00000000-0005-0000-0000-0000191D0000}"/>
    <cellStyle name="Normal 3 3 5 3 6" xfId="8809" xr:uid="{00000000-0005-0000-0000-00001A1D0000}"/>
    <cellStyle name="Normal 3 3 5 3 7" xfId="10242" xr:uid="{00000000-0005-0000-0000-00001B1D0000}"/>
    <cellStyle name="Normal 3 3 5 4" xfId="2047" xr:uid="{00000000-0005-0000-0000-00001C1D0000}"/>
    <cellStyle name="Normal 3 3 5 5" xfId="3504" xr:uid="{00000000-0005-0000-0000-00001D1D0000}"/>
    <cellStyle name="Normal 3 3 5 6" xfId="4941" xr:uid="{00000000-0005-0000-0000-00001E1D0000}"/>
    <cellStyle name="Normal 3 3 5 7" xfId="6387" xr:uid="{00000000-0005-0000-0000-00001F1D0000}"/>
    <cellStyle name="Normal 3 3 5 8" xfId="7825" xr:uid="{00000000-0005-0000-0000-0000201D0000}"/>
    <cellStyle name="Normal 3 3 5 9" xfId="9261" xr:uid="{00000000-0005-0000-0000-0000211D0000}"/>
    <cellStyle name="Normal 3 3 6" xfId="686" xr:uid="{00000000-0005-0000-0000-0000221D0000}"/>
    <cellStyle name="Normal 3 3 6 2" xfId="2177" xr:uid="{00000000-0005-0000-0000-0000231D0000}"/>
    <cellStyle name="Normal 3 3 6 3" xfId="3634" xr:uid="{00000000-0005-0000-0000-0000241D0000}"/>
    <cellStyle name="Normal 3 3 6 4" xfId="5071" xr:uid="{00000000-0005-0000-0000-0000251D0000}"/>
    <cellStyle name="Normal 3 3 6 5" xfId="6517" xr:uid="{00000000-0005-0000-0000-0000261D0000}"/>
    <cellStyle name="Normal 3 3 6 6" xfId="7956" xr:uid="{00000000-0005-0000-0000-0000271D0000}"/>
    <cellStyle name="Normal 3 3 6 7" xfId="9391" xr:uid="{00000000-0005-0000-0000-0000281D0000}"/>
    <cellStyle name="Normal 3 3 7" xfId="1177" xr:uid="{00000000-0005-0000-0000-0000291D0000}"/>
    <cellStyle name="Normal 3 3 7 2" xfId="2656" xr:uid="{00000000-0005-0000-0000-00002A1D0000}"/>
    <cellStyle name="Normal 3 3 7 3" xfId="4093" xr:uid="{00000000-0005-0000-0000-00002B1D0000}"/>
    <cellStyle name="Normal 3 3 7 4" xfId="5530" xr:uid="{00000000-0005-0000-0000-00002C1D0000}"/>
    <cellStyle name="Normal 3 3 7 5" xfId="6976" xr:uid="{00000000-0005-0000-0000-00002D1D0000}"/>
    <cellStyle name="Normal 3 3 7 6" xfId="8417" xr:uid="{00000000-0005-0000-0000-00002E1D0000}"/>
    <cellStyle name="Normal 3 3 7 7" xfId="9850" xr:uid="{00000000-0005-0000-0000-00002F1D0000}"/>
    <cellStyle name="Normal 3 3 8" xfId="1242" xr:uid="{00000000-0005-0000-0000-0000301D0000}"/>
    <cellStyle name="Normal 3 3 8 2" xfId="2721" xr:uid="{00000000-0005-0000-0000-0000311D0000}"/>
    <cellStyle name="Normal 3 3 8 3" xfId="4158" xr:uid="{00000000-0005-0000-0000-0000321D0000}"/>
    <cellStyle name="Normal 3 3 8 4" xfId="5595" xr:uid="{00000000-0005-0000-0000-0000331D0000}"/>
    <cellStyle name="Normal 3 3 8 5" xfId="7041" xr:uid="{00000000-0005-0000-0000-0000341D0000}"/>
    <cellStyle name="Normal 3 3 8 6" xfId="8482" xr:uid="{00000000-0005-0000-0000-0000351D0000}"/>
    <cellStyle name="Normal 3 3 8 7" xfId="9915" xr:uid="{00000000-0005-0000-0000-0000361D0000}"/>
    <cellStyle name="Normal 3 3 9" xfId="1720" xr:uid="{00000000-0005-0000-0000-0000371D0000}"/>
    <cellStyle name="Normal 3 4" xfId="465" xr:uid="{00000000-0005-0000-0000-0000381D0000}"/>
    <cellStyle name="Normal 3 4 2" xfId="944" xr:uid="{00000000-0005-0000-0000-0000391D0000}"/>
    <cellStyle name="Normal 3 4 2 2" xfId="2435" xr:uid="{00000000-0005-0000-0000-00003A1D0000}"/>
    <cellStyle name="Normal 3 4 2 3" xfId="3882" xr:uid="{00000000-0005-0000-0000-00003B1D0000}"/>
    <cellStyle name="Normal 3 4 2 4" xfId="5319" xr:uid="{00000000-0005-0000-0000-00003C1D0000}"/>
    <cellStyle name="Normal 3 4 2 5" xfId="6765" xr:uid="{00000000-0005-0000-0000-00003D1D0000}"/>
    <cellStyle name="Normal 3 4 2 6" xfId="8205" xr:uid="{00000000-0005-0000-0000-00003E1D0000}"/>
    <cellStyle name="Normal 3 4 2 7" xfId="9639" xr:uid="{00000000-0005-0000-0000-00003F1D0000}"/>
    <cellStyle name="Normal 3 4 3" xfId="1496" xr:uid="{00000000-0005-0000-0000-0000401D0000}"/>
    <cellStyle name="Normal 3 4 3 2" xfId="2969" xr:uid="{00000000-0005-0000-0000-0000411D0000}"/>
    <cellStyle name="Normal 3 4 3 3" xfId="4406" xr:uid="{00000000-0005-0000-0000-0000421D0000}"/>
    <cellStyle name="Normal 3 4 3 4" xfId="5843" xr:uid="{00000000-0005-0000-0000-0000431D0000}"/>
    <cellStyle name="Normal 3 4 3 5" xfId="7289" xr:uid="{00000000-0005-0000-0000-0000441D0000}"/>
    <cellStyle name="Normal 3 4 3 6" xfId="8730" xr:uid="{00000000-0005-0000-0000-0000451D0000}"/>
    <cellStyle name="Normal 3 4 3 7" xfId="10163" xr:uid="{00000000-0005-0000-0000-0000461D0000}"/>
    <cellStyle name="Normal 3 4 4" xfId="1968" xr:uid="{00000000-0005-0000-0000-0000471D0000}"/>
    <cellStyle name="Normal 3 4 5" xfId="3425" xr:uid="{00000000-0005-0000-0000-0000481D0000}"/>
    <cellStyle name="Normal 3 4 6" xfId="4862" xr:uid="{00000000-0005-0000-0000-0000491D0000}"/>
    <cellStyle name="Normal 3 4 7" xfId="6308" xr:uid="{00000000-0005-0000-0000-00004A1D0000}"/>
    <cellStyle name="Normal 3 4 8" xfId="7746" xr:uid="{00000000-0005-0000-0000-00004B1D0000}"/>
    <cellStyle name="Normal 3 4 9" xfId="9183" xr:uid="{00000000-0005-0000-0000-00004C1D0000}"/>
    <cellStyle name="Normal 3 5" xfId="1163" xr:uid="{00000000-0005-0000-0000-00004D1D0000}"/>
    <cellStyle name="Normal 3 5 2" xfId="2642" xr:uid="{00000000-0005-0000-0000-00004E1D0000}"/>
    <cellStyle name="Normal 3 5 3" xfId="4079" xr:uid="{00000000-0005-0000-0000-00004F1D0000}"/>
    <cellStyle name="Normal 3 5 4" xfId="5516" xr:uid="{00000000-0005-0000-0000-0000501D0000}"/>
    <cellStyle name="Normal 3 5 5" xfId="6962" xr:uid="{00000000-0005-0000-0000-0000511D0000}"/>
    <cellStyle name="Normal 3 5 6" xfId="8403" xr:uid="{00000000-0005-0000-0000-0000521D0000}"/>
    <cellStyle name="Normal 3 5 7" xfId="9836" xr:uid="{00000000-0005-0000-0000-0000531D0000}"/>
    <cellStyle name="Normal 30" xfId="8920" xr:uid="{00000000-0005-0000-0000-0000541D0000}"/>
    <cellStyle name="Normal 31" xfId="10358" xr:uid="{00000000-0005-0000-0000-0000551D0000}"/>
    <cellStyle name="Normal 4" xfId="64" xr:uid="{00000000-0005-0000-0000-0000561D0000}"/>
    <cellStyle name="Normal 4 2" xfId="113" xr:uid="{00000000-0005-0000-0000-0000571D0000}"/>
    <cellStyle name="Normal 4 2 2" xfId="213" xr:uid="{00000000-0005-0000-0000-0000581D0000}"/>
    <cellStyle name="Normal 4 3" xfId="166" xr:uid="{00000000-0005-0000-0000-0000591D0000}"/>
    <cellStyle name="Normal 5" xfId="65" xr:uid="{00000000-0005-0000-0000-00005A1D0000}"/>
    <cellStyle name="Normal 5 2" xfId="66" xr:uid="{00000000-0005-0000-0000-00005B1D0000}"/>
    <cellStyle name="Normal 5 2 2" xfId="67" xr:uid="{00000000-0005-0000-0000-00005C1D0000}"/>
    <cellStyle name="Normal 5 2 2 2" xfId="169" xr:uid="{00000000-0005-0000-0000-00005D1D0000}"/>
    <cellStyle name="Normal 5 2 3" xfId="168" xr:uid="{00000000-0005-0000-0000-00005E1D0000}"/>
    <cellStyle name="Normal 5 3" xfId="167" xr:uid="{00000000-0005-0000-0000-00005F1D0000}"/>
    <cellStyle name="Normal 6" xfId="68" xr:uid="{00000000-0005-0000-0000-0000601D0000}"/>
    <cellStyle name="Normal 6 10" xfId="1164" xr:uid="{00000000-0005-0000-0000-0000611D0000}"/>
    <cellStyle name="Normal 6 10 2" xfId="2643" xr:uid="{00000000-0005-0000-0000-0000621D0000}"/>
    <cellStyle name="Normal 6 10 3" xfId="4080" xr:uid="{00000000-0005-0000-0000-0000631D0000}"/>
    <cellStyle name="Normal 6 10 4" xfId="5517" xr:uid="{00000000-0005-0000-0000-0000641D0000}"/>
    <cellStyle name="Normal 6 10 5" xfId="6963" xr:uid="{00000000-0005-0000-0000-0000651D0000}"/>
    <cellStyle name="Normal 6 10 6" xfId="8404" xr:uid="{00000000-0005-0000-0000-0000661D0000}"/>
    <cellStyle name="Normal 6 10 7" xfId="9837" xr:uid="{00000000-0005-0000-0000-0000671D0000}"/>
    <cellStyle name="Normal 6 11" xfId="1225" xr:uid="{00000000-0005-0000-0000-0000681D0000}"/>
    <cellStyle name="Normal 6 11 2" xfId="2704" xr:uid="{00000000-0005-0000-0000-0000691D0000}"/>
    <cellStyle name="Normal 6 11 3" xfId="4141" xr:uid="{00000000-0005-0000-0000-00006A1D0000}"/>
    <cellStyle name="Normal 6 11 4" xfId="5578" xr:uid="{00000000-0005-0000-0000-00006B1D0000}"/>
    <cellStyle name="Normal 6 11 5" xfId="7024" xr:uid="{00000000-0005-0000-0000-00006C1D0000}"/>
    <cellStyle name="Normal 6 11 6" xfId="8465" xr:uid="{00000000-0005-0000-0000-00006D1D0000}"/>
    <cellStyle name="Normal 6 11 7" xfId="9898" xr:uid="{00000000-0005-0000-0000-00006E1D0000}"/>
    <cellStyle name="Normal 6 12" xfId="1704" xr:uid="{00000000-0005-0000-0000-00006F1D0000}"/>
    <cellStyle name="Normal 6 13" xfId="3161" xr:uid="{00000000-0005-0000-0000-0000701D0000}"/>
    <cellStyle name="Normal 6 14" xfId="4598" xr:uid="{00000000-0005-0000-0000-0000711D0000}"/>
    <cellStyle name="Normal 6 15" xfId="6044" xr:uid="{00000000-0005-0000-0000-0000721D0000}"/>
    <cellStyle name="Normal 6 16" xfId="7482" xr:uid="{00000000-0005-0000-0000-0000731D0000}"/>
    <cellStyle name="Normal 6 17" xfId="8922" xr:uid="{00000000-0005-0000-0000-0000741D0000}"/>
    <cellStyle name="Normal 6 2" xfId="119" xr:uid="{00000000-0005-0000-0000-0000751D0000}"/>
    <cellStyle name="Normal 6 2 10" xfId="1233" xr:uid="{00000000-0005-0000-0000-0000761D0000}"/>
    <cellStyle name="Normal 6 2 10 2" xfId="2712" xr:uid="{00000000-0005-0000-0000-0000771D0000}"/>
    <cellStyle name="Normal 6 2 10 3" xfId="4149" xr:uid="{00000000-0005-0000-0000-0000781D0000}"/>
    <cellStyle name="Normal 6 2 10 4" xfId="5586" xr:uid="{00000000-0005-0000-0000-0000791D0000}"/>
    <cellStyle name="Normal 6 2 10 5" xfId="7032" xr:uid="{00000000-0005-0000-0000-00007A1D0000}"/>
    <cellStyle name="Normal 6 2 10 6" xfId="8473" xr:uid="{00000000-0005-0000-0000-00007B1D0000}"/>
    <cellStyle name="Normal 6 2 10 7" xfId="9906" xr:uid="{00000000-0005-0000-0000-00007C1D0000}"/>
    <cellStyle name="Normal 6 2 11" xfId="1712" xr:uid="{00000000-0005-0000-0000-00007D1D0000}"/>
    <cellStyle name="Normal 6 2 12" xfId="3169" xr:uid="{00000000-0005-0000-0000-00007E1D0000}"/>
    <cellStyle name="Normal 6 2 13" xfId="4606" xr:uid="{00000000-0005-0000-0000-00007F1D0000}"/>
    <cellStyle name="Normal 6 2 14" xfId="6052" xr:uid="{00000000-0005-0000-0000-0000801D0000}"/>
    <cellStyle name="Normal 6 2 15" xfId="7490" xr:uid="{00000000-0005-0000-0000-0000811D0000}"/>
    <cellStyle name="Normal 6 2 16" xfId="8930" xr:uid="{00000000-0005-0000-0000-0000821D0000}"/>
    <cellStyle name="Normal 6 2 2" xfId="178" xr:uid="{00000000-0005-0000-0000-0000831D0000}"/>
    <cellStyle name="Normal 6 2 2 10" xfId="1729" xr:uid="{00000000-0005-0000-0000-0000841D0000}"/>
    <cellStyle name="Normal 6 2 2 11" xfId="3186" xr:uid="{00000000-0005-0000-0000-0000851D0000}"/>
    <cellStyle name="Normal 6 2 2 12" xfId="4623" xr:uid="{00000000-0005-0000-0000-0000861D0000}"/>
    <cellStyle name="Normal 6 2 2 13" xfId="6069" xr:uid="{00000000-0005-0000-0000-0000871D0000}"/>
    <cellStyle name="Normal 6 2 2 14" xfId="7507" xr:uid="{00000000-0005-0000-0000-0000881D0000}"/>
    <cellStyle name="Normal 6 2 2 15" xfId="8947" xr:uid="{00000000-0005-0000-0000-0000891D0000}"/>
    <cellStyle name="Normal 6 2 2 2" xfId="243" xr:uid="{00000000-0005-0000-0000-00008A1D0000}"/>
    <cellStyle name="Normal 6 2 2 2 10" xfId="3217" xr:uid="{00000000-0005-0000-0000-00008B1D0000}"/>
    <cellStyle name="Normal 6 2 2 2 11" xfId="4654" xr:uid="{00000000-0005-0000-0000-00008C1D0000}"/>
    <cellStyle name="Normal 6 2 2 2 12" xfId="6100" xr:uid="{00000000-0005-0000-0000-00008D1D0000}"/>
    <cellStyle name="Normal 6 2 2 2 13" xfId="7538" xr:uid="{00000000-0005-0000-0000-00008E1D0000}"/>
    <cellStyle name="Normal 6 2 2 2 14" xfId="8978" xr:uid="{00000000-0005-0000-0000-00008F1D0000}"/>
    <cellStyle name="Normal 6 2 2 2 2" xfId="311" xr:uid="{00000000-0005-0000-0000-0000901D0000}"/>
    <cellStyle name="Normal 6 2 2 2 2 10" xfId="7603" xr:uid="{00000000-0005-0000-0000-0000911D0000}"/>
    <cellStyle name="Normal 6 2 2 2 2 11" xfId="9042" xr:uid="{00000000-0005-0000-0000-0000921D0000}"/>
    <cellStyle name="Normal 6 2 2 2 2 2" xfId="449" xr:uid="{00000000-0005-0000-0000-0000931D0000}"/>
    <cellStyle name="Normal 6 2 2 2 2 2 2" xfId="931" xr:uid="{00000000-0005-0000-0000-0000941D0000}"/>
    <cellStyle name="Normal 6 2 2 2 2 2 2 2" xfId="2422" xr:uid="{00000000-0005-0000-0000-0000951D0000}"/>
    <cellStyle name="Normal 6 2 2 2 2 2 2 3" xfId="3869" xr:uid="{00000000-0005-0000-0000-0000961D0000}"/>
    <cellStyle name="Normal 6 2 2 2 2 2 2 4" xfId="5306" xr:uid="{00000000-0005-0000-0000-0000971D0000}"/>
    <cellStyle name="Normal 6 2 2 2 2 2 2 5" xfId="6752" xr:uid="{00000000-0005-0000-0000-0000981D0000}"/>
    <cellStyle name="Normal 6 2 2 2 2 2 2 6" xfId="8192" xr:uid="{00000000-0005-0000-0000-0000991D0000}"/>
    <cellStyle name="Normal 6 2 2 2 2 2 2 7" xfId="9626" xr:uid="{00000000-0005-0000-0000-00009A1D0000}"/>
    <cellStyle name="Normal 6 2 2 2 2 2 3" xfId="1483" xr:uid="{00000000-0005-0000-0000-00009B1D0000}"/>
    <cellStyle name="Normal 6 2 2 2 2 2 3 2" xfId="2956" xr:uid="{00000000-0005-0000-0000-00009C1D0000}"/>
    <cellStyle name="Normal 6 2 2 2 2 2 3 3" xfId="4393" xr:uid="{00000000-0005-0000-0000-00009D1D0000}"/>
    <cellStyle name="Normal 6 2 2 2 2 2 3 4" xfId="5830" xr:uid="{00000000-0005-0000-0000-00009E1D0000}"/>
    <cellStyle name="Normal 6 2 2 2 2 2 3 5" xfId="7276" xr:uid="{00000000-0005-0000-0000-00009F1D0000}"/>
    <cellStyle name="Normal 6 2 2 2 2 2 3 6" xfId="8717" xr:uid="{00000000-0005-0000-0000-0000A01D0000}"/>
    <cellStyle name="Normal 6 2 2 2 2 2 3 7" xfId="10150" xr:uid="{00000000-0005-0000-0000-0000A11D0000}"/>
    <cellStyle name="Normal 6 2 2 2 2 2 4" xfId="1955" xr:uid="{00000000-0005-0000-0000-0000A21D0000}"/>
    <cellStyle name="Normal 6 2 2 2 2 2 5" xfId="3412" xr:uid="{00000000-0005-0000-0000-0000A31D0000}"/>
    <cellStyle name="Normal 6 2 2 2 2 2 6" xfId="4849" xr:uid="{00000000-0005-0000-0000-0000A41D0000}"/>
    <cellStyle name="Normal 6 2 2 2 2 2 7" xfId="6295" xr:uid="{00000000-0005-0000-0000-0000A51D0000}"/>
    <cellStyle name="Normal 6 2 2 2 2 2 8" xfId="7733" xr:uid="{00000000-0005-0000-0000-0000A61D0000}"/>
    <cellStyle name="Normal 6 2 2 2 2 2 9" xfId="9170" xr:uid="{00000000-0005-0000-0000-0000A71D0000}"/>
    <cellStyle name="Normal 6 2 2 2 2 3" xfId="653" xr:uid="{00000000-0005-0000-0000-0000A81D0000}"/>
    <cellStyle name="Normal 6 2 2 2 2 3 2" xfId="1132" xr:uid="{00000000-0005-0000-0000-0000A91D0000}"/>
    <cellStyle name="Normal 6 2 2 2 2 3 2 2" xfId="2623" xr:uid="{00000000-0005-0000-0000-0000AA1D0000}"/>
    <cellStyle name="Normal 6 2 2 2 2 3 2 3" xfId="4066" xr:uid="{00000000-0005-0000-0000-0000AB1D0000}"/>
    <cellStyle name="Normal 6 2 2 2 2 3 2 4" xfId="5503" xr:uid="{00000000-0005-0000-0000-0000AC1D0000}"/>
    <cellStyle name="Normal 6 2 2 2 2 3 2 5" xfId="6949" xr:uid="{00000000-0005-0000-0000-0000AD1D0000}"/>
    <cellStyle name="Normal 6 2 2 2 2 3 2 6" xfId="8389" xr:uid="{00000000-0005-0000-0000-0000AE1D0000}"/>
    <cellStyle name="Normal 6 2 2 2 2 3 2 7" xfId="9823" xr:uid="{00000000-0005-0000-0000-0000AF1D0000}"/>
    <cellStyle name="Normal 6 2 2 2 2 3 3" xfId="1682" xr:uid="{00000000-0005-0000-0000-0000B01D0000}"/>
    <cellStyle name="Normal 6 2 2 2 2 3 3 2" xfId="3153" xr:uid="{00000000-0005-0000-0000-0000B11D0000}"/>
    <cellStyle name="Normal 6 2 2 2 2 3 3 3" xfId="4590" xr:uid="{00000000-0005-0000-0000-0000B21D0000}"/>
    <cellStyle name="Normal 6 2 2 2 2 3 3 4" xfId="6027" xr:uid="{00000000-0005-0000-0000-0000B31D0000}"/>
    <cellStyle name="Normal 6 2 2 2 2 3 3 5" xfId="7473" xr:uid="{00000000-0005-0000-0000-0000B41D0000}"/>
    <cellStyle name="Normal 6 2 2 2 2 3 3 6" xfId="8914" xr:uid="{00000000-0005-0000-0000-0000B51D0000}"/>
    <cellStyle name="Normal 6 2 2 2 2 3 3 7" xfId="10347" xr:uid="{00000000-0005-0000-0000-0000B61D0000}"/>
    <cellStyle name="Normal 6 2 2 2 2 3 4" xfId="2152" xr:uid="{00000000-0005-0000-0000-0000B71D0000}"/>
    <cellStyle name="Normal 6 2 2 2 2 3 5" xfId="3609" xr:uid="{00000000-0005-0000-0000-0000B81D0000}"/>
    <cellStyle name="Normal 6 2 2 2 2 3 6" xfId="5046" xr:uid="{00000000-0005-0000-0000-0000B91D0000}"/>
    <cellStyle name="Normal 6 2 2 2 2 3 7" xfId="6492" xr:uid="{00000000-0005-0000-0000-0000BA1D0000}"/>
    <cellStyle name="Normal 6 2 2 2 2 3 8" xfId="7931" xr:uid="{00000000-0005-0000-0000-0000BB1D0000}"/>
    <cellStyle name="Normal 6 2 2 2 2 3 9" xfId="9366" xr:uid="{00000000-0005-0000-0000-0000BC1D0000}"/>
    <cellStyle name="Normal 6 2 2 2 2 4" xfId="795" xr:uid="{00000000-0005-0000-0000-0000BD1D0000}"/>
    <cellStyle name="Normal 6 2 2 2 2 4 2" xfId="2286" xr:uid="{00000000-0005-0000-0000-0000BE1D0000}"/>
    <cellStyle name="Normal 6 2 2 2 2 4 3" xfId="3739" xr:uid="{00000000-0005-0000-0000-0000BF1D0000}"/>
    <cellStyle name="Normal 6 2 2 2 2 4 4" xfId="5176" xr:uid="{00000000-0005-0000-0000-0000C01D0000}"/>
    <cellStyle name="Normal 6 2 2 2 2 4 5" xfId="6622" xr:uid="{00000000-0005-0000-0000-0000C11D0000}"/>
    <cellStyle name="Normal 6 2 2 2 2 4 6" xfId="8062" xr:uid="{00000000-0005-0000-0000-0000C21D0000}"/>
    <cellStyle name="Normal 6 2 2 2 2 4 7" xfId="9496" xr:uid="{00000000-0005-0000-0000-0000C31D0000}"/>
    <cellStyle name="Normal 6 2 2 2 2 5" xfId="1351" xr:uid="{00000000-0005-0000-0000-0000C41D0000}"/>
    <cellStyle name="Normal 6 2 2 2 2 5 2" xfId="2826" xr:uid="{00000000-0005-0000-0000-0000C51D0000}"/>
    <cellStyle name="Normal 6 2 2 2 2 5 3" xfId="4263" xr:uid="{00000000-0005-0000-0000-0000C61D0000}"/>
    <cellStyle name="Normal 6 2 2 2 2 5 4" xfId="5700" xr:uid="{00000000-0005-0000-0000-0000C71D0000}"/>
    <cellStyle name="Normal 6 2 2 2 2 5 5" xfId="7146" xr:uid="{00000000-0005-0000-0000-0000C81D0000}"/>
    <cellStyle name="Normal 6 2 2 2 2 5 6" xfId="8587" xr:uid="{00000000-0005-0000-0000-0000C91D0000}"/>
    <cellStyle name="Normal 6 2 2 2 2 5 7" xfId="10020" xr:uid="{00000000-0005-0000-0000-0000CA1D0000}"/>
    <cellStyle name="Normal 6 2 2 2 2 6" xfId="1825" xr:uid="{00000000-0005-0000-0000-0000CB1D0000}"/>
    <cellStyle name="Normal 6 2 2 2 2 7" xfId="3282" xr:uid="{00000000-0005-0000-0000-0000CC1D0000}"/>
    <cellStyle name="Normal 6 2 2 2 2 8" xfId="4719" xr:uid="{00000000-0005-0000-0000-0000CD1D0000}"/>
    <cellStyle name="Normal 6 2 2 2 2 9" xfId="6165" xr:uid="{00000000-0005-0000-0000-0000CE1D0000}"/>
    <cellStyle name="Normal 6 2 2 2 3" xfId="380" xr:uid="{00000000-0005-0000-0000-0000CF1D0000}"/>
    <cellStyle name="Normal 6 2 2 2 3 2" xfId="862" xr:uid="{00000000-0005-0000-0000-0000D01D0000}"/>
    <cellStyle name="Normal 6 2 2 2 3 2 2" xfId="2353" xr:uid="{00000000-0005-0000-0000-0000D11D0000}"/>
    <cellStyle name="Normal 6 2 2 2 3 2 3" xfId="3804" xr:uid="{00000000-0005-0000-0000-0000D21D0000}"/>
    <cellStyle name="Normal 6 2 2 2 3 2 4" xfId="5241" xr:uid="{00000000-0005-0000-0000-0000D31D0000}"/>
    <cellStyle name="Normal 6 2 2 2 3 2 5" xfId="6687" xr:uid="{00000000-0005-0000-0000-0000D41D0000}"/>
    <cellStyle name="Normal 6 2 2 2 3 2 6" xfId="8127" xr:uid="{00000000-0005-0000-0000-0000D51D0000}"/>
    <cellStyle name="Normal 6 2 2 2 3 2 7" xfId="9561" xr:uid="{00000000-0005-0000-0000-0000D61D0000}"/>
    <cellStyle name="Normal 6 2 2 2 3 3" xfId="1416" xr:uid="{00000000-0005-0000-0000-0000D71D0000}"/>
    <cellStyle name="Normal 6 2 2 2 3 3 2" xfId="2891" xr:uid="{00000000-0005-0000-0000-0000D81D0000}"/>
    <cellStyle name="Normal 6 2 2 2 3 3 3" xfId="4328" xr:uid="{00000000-0005-0000-0000-0000D91D0000}"/>
    <cellStyle name="Normal 6 2 2 2 3 3 4" xfId="5765" xr:uid="{00000000-0005-0000-0000-0000DA1D0000}"/>
    <cellStyle name="Normal 6 2 2 2 3 3 5" xfId="7211" xr:uid="{00000000-0005-0000-0000-0000DB1D0000}"/>
    <cellStyle name="Normal 6 2 2 2 3 3 6" xfId="8652" xr:uid="{00000000-0005-0000-0000-0000DC1D0000}"/>
    <cellStyle name="Normal 6 2 2 2 3 3 7" xfId="10085" xr:uid="{00000000-0005-0000-0000-0000DD1D0000}"/>
    <cellStyle name="Normal 6 2 2 2 3 4" xfId="1890" xr:uid="{00000000-0005-0000-0000-0000DE1D0000}"/>
    <cellStyle name="Normal 6 2 2 2 3 5" xfId="3347" xr:uid="{00000000-0005-0000-0000-0000DF1D0000}"/>
    <cellStyle name="Normal 6 2 2 2 3 6" xfId="4784" xr:uid="{00000000-0005-0000-0000-0000E01D0000}"/>
    <cellStyle name="Normal 6 2 2 2 3 7" xfId="6230" xr:uid="{00000000-0005-0000-0000-0000E11D0000}"/>
    <cellStyle name="Normal 6 2 2 2 3 8" xfId="7668" xr:uid="{00000000-0005-0000-0000-0000E21D0000}"/>
    <cellStyle name="Normal 6 2 2 2 3 9" xfId="9105" xr:uid="{00000000-0005-0000-0000-0000E31D0000}"/>
    <cellStyle name="Normal 6 2 2 2 4" xfId="519" xr:uid="{00000000-0005-0000-0000-0000E41D0000}"/>
    <cellStyle name="Normal 6 2 2 2 4 2" xfId="998" xr:uid="{00000000-0005-0000-0000-0000E51D0000}"/>
    <cellStyle name="Normal 6 2 2 2 4 2 2" xfId="2489" xr:uid="{00000000-0005-0000-0000-0000E61D0000}"/>
    <cellStyle name="Normal 6 2 2 2 4 2 3" xfId="3936" xr:uid="{00000000-0005-0000-0000-0000E71D0000}"/>
    <cellStyle name="Normal 6 2 2 2 4 2 4" xfId="5373" xr:uid="{00000000-0005-0000-0000-0000E81D0000}"/>
    <cellStyle name="Normal 6 2 2 2 4 2 5" xfId="6819" xr:uid="{00000000-0005-0000-0000-0000E91D0000}"/>
    <cellStyle name="Normal 6 2 2 2 4 2 6" xfId="8259" xr:uid="{00000000-0005-0000-0000-0000EA1D0000}"/>
    <cellStyle name="Normal 6 2 2 2 4 2 7" xfId="9693" xr:uid="{00000000-0005-0000-0000-0000EB1D0000}"/>
    <cellStyle name="Normal 6 2 2 2 4 3" xfId="1550" xr:uid="{00000000-0005-0000-0000-0000EC1D0000}"/>
    <cellStyle name="Normal 6 2 2 2 4 3 2" xfId="3023" xr:uid="{00000000-0005-0000-0000-0000ED1D0000}"/>
    <cellStyle name="Normal 6 2 2 2 4 3 3" xfId="4460" xr:uid="{00000000-0005-0000-0000-0000EE1D0000}"/>
    <cellStyle name="Normal 6 2 2 2 4 3 4" xfId="5897" xr:uid="{00000000-0005-0000-0000-0000EF1D0000}"/>
    <cellStyle name="Normal 6 2 2 2 4 3 5" xfId="7343" xr:uid="{00000000-0005-0000-0000-0000F01D0000}"/>
    <cellStyle name="Normal 6 2 2 2 4 3 6" xfId="8784" xr:uid="{00000000-0005-0000-0000-0000F11D0000}"/>
    <cellStyle name="Normal 6 2 2 2 4 3 7" xfId="10217" xr:uid="{00000000-0005-0000-0000-0000F21D0000}"/>
    <cellStyle name="Normal 6 2 2 2 4 4" xfId="2022" xr:uid="{00000000-0005-0000-0000-0000F31D0000}"/>
    <cellStyle name="Normal 6 2 2 2 4 5" xfId="3479" xr:uid="{00000000-0005-0000-0000-0000F41D0000}"/>
    <cellStyle name="Normal 6 2 2 2 4 6" xfId="4916" xr:uid="{00000000-0005-0000-0000-0000F51D0000}"/>
    <cellStyle name="Normal 6 2 2 2 4 7" xfId="6362" xr:uid="{00000000-0005-0000-0000-0000F61D0000}"/>
    <cellStyle name="Normal 6 2 2 2 4 8" xfId="7800" xr:uid="{00000000-0005-0000-0000-0000F71D0000}"/>
    <cellStyle name="Normal 6 2 2 2 4 9" xfId="9237" xr:uid="{00000000-0005-0000-0000-0000F81D0000}"/>
    <cellStyle name="Normal 6 2 2 2 5" xfId="584" xr:uid="{00000000-0005-0000-0000-0000F91D0000}"/>
    <cellStyle name="Normal 6 2 2 2 5 2" xfId="1063" xr:uid="{00000000-0005-0000-0000-0000FA1D0000}"/>
    <cellStyle name="Normal 6 2 2 2 5 2 2" xfId="2554" xr:uid="{00000000-0005-0000-0000-0000FB1D0000}"/>
    <cellStyle name="Normal 6 2 2 2 5 2 3" xfId="4001" xr:uid="{00000000-0005-0000-0000-0000FC1D0000}"/>
    <cellStyle name="Normal 6 2 2 2 5 2 4" xfId="5438" xr:uid="{00000000-0005-0000-0000-0000FD1D0000}"/>
    <cellStyle name="Normal 6 2 2 2 5 2 5" xfId="6884" xr:uid="{00000000-0005-0000-0000-0000FE1D0000}"/>
    <cellStyle name="Normal 6 2 2 2 5 2 6" xfId="8324" xr:uid="{00000000-0005-0000-0000-0000FF1D0000}"/>
    <cellStyle name="Normal 6 2 2 2 5 2 7" xfId="9758" xr:uid="{00000000-0005-0000-0000-0000001E0000}"/>
    <cellStyle name="Normal 6 2 2 2 5 3" xfId="1615" xr:uid="{00000000-0005-0000-0000-0000011E0000}"/>
    <cellStyle name="Normal 6 2 2 2 5 3 2" xfId="3088" xr:uid="{00000000-0005-0000-0000-0000021E0000}"/>
    <cellStyle name="Normal 6 2 2 2 5 3 3" xfId="4525" xr:uid="{00000000-0005-0000-0000-0000031E0000}"/>
    <cellStyle name="Normal 6 2 2 2 5 3 4" xfId="5962" xr:uid="{00000000-0005-0000-0000-0000041E0000}"/>
    <cellStyle name="Normal 6 2 2 2 5 3 5" xfId="7408" xr:uid="{00000000-0005-0000-0000-0000051E0000}"/>
    <cellStyle name="Normal 6 2 2 2 5 3 6" xfId="8849" xr:uid="{00000000-0005-0000-0000-0000061E0000}"/>
    <cellStyle name="Normal 6 2 2 2 5 3 7" xfId="10282" xr:uid="{00000000-0005-0000-0000-0000071E0000}"/>
    <cellStyle name="Normal 6 2 2 2 5 4" xfId="2087" xr:uid="{00000000-0005-0000-0000-0000081E0000}"/>
    <cellStyle name="Normal 6 2 2 2 5 5" xfId="3544" xr:uid="{00000000-0005-0000-0000-0000091E0000}"/>
    <cellStyle name="Normal 6 2 2 2 5 6" xfId="4981" xr:uid="{00000000-0005-0000-0000-00000A1E0000}"/>
    <cellStyle name="Normal 6 2 2 2 5 7" xfId="6427" xr:uid="{00000000-0005-0000-0000-00000B1E0000}"/>
    <cellStyle name="Normal 6 2 2 2 5 8" xfId="7865" xr:uid="{00000000-0005-0000-0000-00000C1E0000}"/>
    <cellStyle name="Normal 6 2 2 2 5 9" xfId="9301" xr:uid="{00000000-0005-0000-0000-00000D1E0000}"/>
    <cellStyle name="Normal 6 2 2 2 6" xfId="726" xr:uid="{00000000-0005-0000-0000-00000E1E0000}"/>
    <cellStyle name="Normal 6 2 2 2 6 2" xfId="2217" xr:uid="{00000000-0005-0000-0000-00000F1E0000}"/>
    <cellStyle name="Normal 6 2 2 2 6 3" xfId="3674" xr:uid="{00000000-0005-0000-0000-0000101E0000}"/>
    <cellStyle name="Normal 6 2 2 2 6 4" xfId="5111" xr:uid="{00000000-0005-0000-0000-0000111E0000}"/>
    <cellStyle name="Normal 6 2 2 2 6 5" xfId="6557" xr:uid="{00000000-0005-0000-0000-0000121E0000}"/>
    <cellStyle name="Normal 6 2 2 2 6 6" xfId="7996" xr:uid="{00000000-0005-0000-0000-0000131E0000}"/>
    <cellStyle name="Normal 6 2 2 2 6 7" xfId="9431" xr:uid="{00000000-0005-0000-0000-0000141E0000}"/>
    <cellStyle name="Normal 6 2 2 2 7" xfId="1217" xr:uid="{00000000-0005-0000-0000-0000151E0000}"/>
    <cellStyle name="Normal 6 2 2 2 7 2" xfId="2696" xr:uid="{00000000-0005-0000-0000-0000161E0000}"/>
    <cellStyle name="Normal 6 2 2 2 7 3" xfId="4133" xr:uid="{00000000-0005-0000-0000-0000171E0000}"/>
    <cellStyle name="Normal 6 2 2 2 7 4" xfId="5570" xr:uid="{00000000-0005-0000-0000-0000181E0000}"/>
    <cellStyle name="Normal 6 2 2 2 7 5" xfId="7016" xr:uid="{00000000-0005-0000-0000-0000191E0000}"/>
    <cellStyle name="Normal 6 2 2 2 7 6" xfId="8457" xr:uid="{00000000-0005-0000-0000-00001A1E0000}"/>
    <cellStyle name="Normal 6 2 2 2 7 7" xfId="9890" xr:uid="{00000000-0005-0000-0000-00001B1E0000}"/>
    <cellStyle name="Normal 6 2 2 2 8" xfId="1282" xr:uid="{00000000-0005-0000-0000-00001C1E0000}"/>
    <cellStyle name="Normal 6 2 2 2 8 2" xfId="2761" xr:uid="{00000000-0005-0000-0000-00001D1E0000}"/>
    <cellStyle name="Normal 6 2 2 2 8 3" xfId="4198" xr:uid="{00000000-0005-0000-0000-00001E1E0000}"/>
    <cellStyle name="Normal 6 2 2 2 8 4" xfId="5635" xr:uid="{00000000-0005-0000-0000-00001F1E0000}"/>
    <cellStyle name="Normal 6 2 2 2 8 5" xfId="7081" xr:uid="{00000000-0005-0000-0000-0000201E0000}"/>
    <cellStyle name="Normal 6 2 2 2 8 6" xfId="8522" xr:uid="{00000000-0005-0000-0000-0000211E0000}"/>
    <cellStyle name="Normal 6 2 2 2 8 7" xfId="9955" xr:uid="{00000000-0005-0000-0000-0000221E0000}"/>
    <cellStyle name="Normal 6 2 2 2 9" xfId="1760" xr:uid="{00000000-0005-0000-0000-0000231E0000}"/>
    <cellStyle name="Normal 6 2 2 3" xfId="280" xr:uid="{00000000-0005-0000-0000-0000241E0000}"/>
    <cellStyle name="Normal 6 2 2 3 10" xfId="7572" xr:uid="{00000000-0005-0000-0000-0000251E0000}"/>
    <cellStyle name="Normal 6 2 2 3 11" xfId="9011" xr:uid="{00000000-0005-0000-0000-0000261E0000}"/>
    <cellStyle name="Normal 6 2 2 3 2" xfId="418" xr:uid="{00000000-0005-0000-0000-0000271E0000}"/>
    <cellStyle name="Normal 6 2 2 3 2 2" xfId="900" xr:uid="{00000000-0005-0000-0000-0000281E0000}"/>
    <cellStyle name="Normal 6 2 2 3 2 2 2" xfId="2391" xr:uid="{00000000-0005-0000-0000-0000291E0000}"/>
    <cellStyle name="Normal 6 2 2 3 2 2 3" xfId="3838" xr:uid="{00000000-0005-0000-0000-00002A1E0000}"/>
    <cellStyle name="Normal 6 2 2 3 2 2 4" xfId="5275" xr:uid="{00000000-0005-0000-0000-00002B1E0000}"/>
    <cellStyle name="Normal 6 2 2 3 2 2 5" xfId="6721" xr:uid="{00000000-0005-0000-0000-00002C1E0000}"/>
    <cellStyle name="Normal 6 2 2 3 2 2 6" xfId="8161" xr:uid="{00000000-0005-0000-0000-00002D1E0000}"/>
    <cellStyle name="Normal 6 2 2 3 2 2 7" xfId="9595" xr:uid="{00000000-0005-0000-0000-00002E1E0000}"/>
    <cellStyle name="Normal 6 2 2 3 2 3" xfId="1452" xr:uid="{00000000-0005-0000-0000-00002F1E0000}"/>
    <cellStyle name="Normal 6 2 2 3 2 3 2" xfId="2925" xr:uid="{00000000-0005-0000-0000-0000301E0000}"/>
    <cellStyle name="Normal 6 2 2 3 2 3 3" xfId="4362" xr:uid="{00000000-0005-0000-0000-0000311E0000}"/>
    <cellStyle name="Normal 6 2 2 3 2 3 4" xfId="5799" xr:uid="{00000000-0005-0000-0000-0000321E0000}"/>
    <cellStyle name="Normal 6 2 2 3 2 3 5" xfId="7245" xr:uid="{00000000-0005-0000-0000-0000331E0000}"/>
    <cellStyle name="Normal 6 2 2 3 2 3 6" xfId="8686" xr:uid="{00000000-0005-0000-0000-0000341E0000}"/>
    <cellStyle name="Normal 6 2 2 3 2 3 7" xfId="10119" xr:uid="{00000000-0005-0000-0000-0000351E0000}"/>
    <cellStyle name="Normal 6 2 2 3 2 4" xfId="1924" xr:uid="{00000000-0005-0000-0000-0000361E0000}"/>
    <cellStyle name="Normal 6 2 2 3 2 5" xfId="3381" xr:uid="{00000000-0005-0000-0000-0000371E0000}"/>
    <cellStyle name="Normal 6 2 2 3 2 6" xfId="4818" xr:uid="{00000000-0005-0000-0000-0000381E0000}"/>
    <cellStyle name="Normal 6 2 2 3 2 7" xfId="6264" xr:uid="{00000000-0005-0000-0000-0000391E0000}"/>
    <cellStyle name="Normal 6 2 2 3 2 8" xfId="7702" xr:uid="{00000000-0005-0000-0000-00003A1E0000}"/>
    <cellStyle name="Normal 6 2 2 3 2 9" xfId="9139" xr:uid="{00000000-0005-0000-0000-00003B1E0000}"/>
    <cellStyle name="Normal 6 2 2 3 3" xfId="622" xr:uid="{00000000-0005-0000-0000-00003C1E0000}"/>
    <cellStyle name="Normal 6 2 2 3 3 2" xfId="1101" xr:uid="{00000000-0005-0000-0000-00003D1E0000}"/>
    <cellStyle name="Normal 6 2 2 3 3 2 2" xfId="2592" xr:uid="{00000000-0005-0000-0000-00003E1E0000}"/>
    <cellStyle name="Normal 6 2 2 3 3 2 3" xfId="4035" xr:uid="{00000000-0005-0000-0000-00003F1E0000}"/>
    <cellStyle name="Normal 6 2 2 3 3 2 4" xfId="5472" xr:uid="{00000000-0005-0000-0000-0000401E0000}"/>
    <cellStyle name="Normal 6 2 2 3 3 2 5" xfId="6918" xr:uid="{00000000-0005-0000-0000-0000411E0000}"/>
    <cellStyle name="Normal 6 2 2 3 3 2 6" xfId="8358" xr:uid="{00000000-0005-0000-0000-0000421E0000}"/>
    <cellStyle name="Normal 6 2 2 3 3 2 7" xfId="9792" xr:uid="{00000000-0005-0000-0000-0000431E0000}"/>
    <cellStyle name="Normal 6 2 2 3 3 3" xfId="1651" xr:uid="{00000000-0005-0000-0000-0000441E0000}"/>
    <cellStyle name="Normal 6 2 2 3 3 3 2" xfId="3122" xr:uid="{00000000-0005-0000-0000-0000451E0000}"/>
    <cellStyle name="Normal 6 2 2 3 3 3 3" xfId="4559" xr:uid="{00000000-0005-0000-0000-0000461E0000}"/>
    <cellStyle name="Normal 6 2 2 3 3 3 4" xfId="5996" xr:uid="{00000000-0005-0000-0000-0000471E0000}"/>
    <cellStyle name="Normal 6 2 2 3 3 3 5" xfId="7442" xr:uid="{00000000-0005-0000-0000-0000481E0000}"/>
    <cellStyle name="Normal 6 2 2 3 3 3 6" xfId="8883" xr:uid="{00000000-0005-0000-0000-0000491E0000}"/>
    <cellStyle name="Normal 6 2 2 3 3 3 7" xfId="10316" xr:uid="{00000000-0005-0000-0000-00004A1E0000}"/>
    <cellStyle name="Normal 6 2 2 3 3 4" xfId="2121" xr:uid="{00000000-0005-0000-0000-00004B1E0000}"/>
    <cellStyle name="Normal 6 2 2 3 3 5" xfId="3578" xr:uid="{00000000-0005-0000-0000-00004C1E0000}"/>
    <cellStyle name="Normal 6 2 2 3 3 6" xfId="5015" xr:uid="{00000000-0005-0000-0000-00004D1E0000}"/>
    <cellStyle name="Normal 6 2 2 3 3 7" xfId="6461" xr:uid="{00000000-0005-0000-0000-00004E1E0000}"/>
    <cellStyle name="Normal 6 2 2 3 3 8" xfId="7900" xr:uid="{00000000-0005-0000-0000-00004F1E0000}"/>
    <cellStyle name="Normal 6 2 2 3 3 9" xfId="9335" xr:uid="{00000000-0005-0000-0000-0000501E0000}"/>
    <cellStyle name="Normal 6 2 2 3 4" xfId="764" xr:uid="{00000000-0005-0000-0000-0000511E0000}"/>
    <cellStyle name="Normal 6 2 2 3 4 2" xfId="2255" xr:uid="{00000000-0005-0000-0000-0000521E0000}"/>
    <cellStyle name="Normal 6 2 2 3 4 3" xfId="3708" xr:uid="{00000000-0005-0000-0000-0000531E0000}"/>
    <cellStyle name="Normal 6 2 2 3 4 4" xfId="5145" xr:uid="{00000000-0005-0000-0000-0000541E0000}"/>
    <cellStyle name="Normal 6 2 2 3 4 5" xfId="6591" xr:uid="{00000000-0005-0000-0000-0000551E0000}"/>
    <cellStyle name="Normal 6 2 2 3 4 6" xfId="8031" xr:uid="{00000000-0005-0000-0000-0000561E0000}"/>
    <cellStyle name="Normal 6 2 2 3 4 7" xfId="9465" xr:uid="{00000000-0005-0000-0000-0000571E0000}"/>
    <cellStyle name="Normal 6 2 2 3 5" xfId="1320" xr:uid="{00000000-0005-0000-0000-0000581E0000}"/>
    <cellStyle name="Normal 6 2 2 3 5 2" xfId="2795" xr:uid="{00000000-0005-0000-0000-0000591E0000}"/>
    <cellStyle name="Normal 6 2 2 3 5 3" xfId="4232" xr:uid="{00000000-0005-0000-0000-00005A1E0000}"/>
    <cellStyle name="Normal 6 2 2 3 5 4" xfId="5669" xr:uid="{00000000-0005-0000-0000-00005B1E0000}"/>
    <cellStyle name="Normal 6 2 2 3 5 5" xfId="7115" xr:uid="{00000000-0005-0000-0000-00005C1E0000}"/>
    <cellStyle name="Normal 6 2 2 3 5 6" xfId="8556" xr:uid="{00000000-0005-0000-0000-00005D1E0000}"/>
    <cellStyle name="Normal 6 2 2 3 5 7" xfId="9989" xr:uid="{00000000-0005-0000-0000-00005E1E0000}"/>
    <cellStyle name="Normal 6 2 2 3 6" xfId="1794" xr:uid="{00000000-0005-0000-0000-00005F1E0000}"/>
    <cellStyle name="Normal 6 2 2 3 7" xfId="3251" xr:uid="{00000000-0005-0000-0000-0000601E0000}"/>
    <cellStyle name="Normal 6 2 2 3 8" xfId="4688" xr:uid="{00000000-0005-0000-0000-0000611E0000}"/>
    <cellStyle name="Normal 6 2 2 3 9" xfId="6134" xr:uid="{00000000-0005-0000-0000-0000621E0000}"/>
    <cellStyle name="Normal 6 2 2 4" xfId="349" xr:uid="{00000000-0005-0000-0000-0000631E0000}"/>
    <cellStyle name="Normal 6 2 2 4 2" xfId="831" xr:uid="{00000000-0005-0000-0000-0000641E0000}"/>
    <cellStyle name="Normal 6 2 2 4 2 2" xfId="2322" xr:uid="{00000000-0005-0000-0000-0000651E0000}"/>
    <cellStyle name="Normal 6 2 2 4 2 3" xfId="3773" xr:uid="{00000000-0005-0000-0000-0000661E0000}"/>
    <cellStyle name="Normal 6 2 2 4 2 4" xfId="5210" xr:uid="{00000000-0005-0000-0000-0000671E0000}"/>
    <cellStyle name="Normal 6 2 2 4 2 5" xfId="6656" xr:uid="{00000000-0005-0000-0000-0000681E0000}"/>
    <cellStyle name="Normal 6 2 2 4 2 6" xfId="8096" xr:uid="{00000000-0005-0000-0000-0000691E0000}"/>
    <cellStyle name="Normal 6 2 2 4 2 7" xfId="9530" xr:uid="{00000000-0005-0000-0000-00006A1E0000}"/>
    <cellStyle name="Normal 6 2 2 4 3" xfId="1385" xr:uid="{00000000-0005-0000-0000-00006B1E0000}"/>
    <cellStyle name="Normal 6 2 2 4 3 2" xfId="2860" xr:uid="{00000000-0005-0000-0000-00006C1E0000}"/>
    <cellStyle name="Normal 6 2 2 4 3 3" xfId="4297" xr:uid="{00000000-0005-0000-0000-00006D1E0000}"/>
    <cellStyle name="Normal 6 2 2 4 3 4" xfId="5734" xr:uid="{00000000-0005-0000-0000-00006E1E0000}"/>
    <cellStyle name="Normal 6 2 2 4 3 5" xfId="7180" xr:uid="{00000000-0005-0000-0000-00006F1E0000}"/>
    <cellStyle name="Normal 6 2 2 4 3 6" xfId="8621" xr:uid="{00000000-0005-0000-0000-0000701E0000}"/>
    <cellStyle name="Normal 6 2 2 4 3 7" xfId="10054" xr:uid="{00000000-0005-0000-0000-0000711E0000}"/>
    <cellStyle name="Normal 6 2 2 4 4" xfId="1859" xr:uid="{00000000-0005-0000-0000-0000721E0000}"/>
    <cellStyle name="Normal 6 2 2 4 5" xfId="3316" xr:uid="{00000000-0005-0000-0000-0000731E0000}"/>
    <cellStyle name="Normal 6 2 2 4 6" xfId="4753" xr:uid="{00000000-0005-0000-0000-0000741E0000}"/>
    <cellStyle name="Normal 6 2 2 4 7" xfId="6199" xr:uid="{00000000-0005-0000-0000-0000751E0000}"/>
    <cellStyle name="Normal 6 2 2 4 8" xfId="7637" xr:uid="{00000000-0005-0000-0000-0000761E0000}"/>
    <cellStyle name="Normal 6 2 2 4 9" xfId="9074" xr:uid="{00000000-0005-0000-0000-0000771E0000}"/>
    <cellStyle name="Normal 6 2 2 5" xfId="488" xr:uid="{00000000-0005-0000-0000-0000781E0000}"/>
    <cellStyle name="Normal 6 2 2 5 2" xfId="967" xr:uid="{00000000-0005-0000-0000-0000791E0000}"/>
    <cellStyle name="Normal 6 2 2 5 2 2" xfId="2458" xr:uid="{00000000-0005-0000-0000-00007A1E0000}"/>
    <cellStyle name="Normal 6 2 2 5 2 3" xfId="3905" xr:uid="{00000000-0005-0000-0000-00007B1E0000}"/>
    <cellStyle name="Normal 6 2 2 5 2 4" xfId="5342" xr:uid="{00000000-0005-0000-0000-00007C1E0000}"/>
    <cellStyle name="Normal 6 2 2 5 2 5" xfId="6788" xr:uid="{00000000-0005-0000-0000-00007D1E0000}"/>
    <cellStyle name="Normal 6 2 2 5 2 6" xfId="8228" xr:uid="{00000000-0005-0000-0000-00007E1E0000}"/>
    <cellStyle name="Normal 6 2 2 5 2 7" xfId="9662" xr:uid="{00000000-0005-0000-0000-00007F1E0000}"/>
    <cellStyle name="Normal 6 2 2 5 3" xfId="1519" xr:uid="{00000000-0005-0000-0000-0000801E0000}"/>
    <cellStyle name="Normal 6 2 2 5 3 2" xfId="2992" xr:uid="{00000000-0005-0000-0000-0000811E0000}"/>
    <cellStyle name="Normal 6 2 2 5 3 3" xfId="4429" xr:uid="{00000000-0005-0000-0000-0000821E0000}"/>
    <cellStyle name="Normal 6 2 2 5 3 4" xfId="5866" xr:uid="{00000000-0005-0000-0000-0000831E0000}"/>
    <cellStyle name="Normal 6 2 2 5 3 5" xfId="7312" xr:uid="{00000000-0005-0000-0000-0000841E0000}"/>
    <cellStyle name="Normal 6 2 2 5 3 6" xfId="8753" xr:uid="{00000000-0005-0000-0000-0000851E0000}"/>
    <cellStyle name="Normal 6 2 2 5 3 7" xfId="10186" xr:uid="{00000000-0005-0000-0000-0000861E0000}"/>
    <cellStyle name="Normal 6 2 2 5 4" xfId="1991" xr:uid="{00000000-0005-0000-0000-0000871E0000}"/>
    <cellStyle name="Normal 6 2 2 5 5" xfId="3448" xr:uid="{00000000-0005-0000-0000-0000881E0000}"/>
    <cellStyle name="Normal 6 2 2 5 6" xfId="4885" xr:uid="{00000000-0005-0000-0000-0000891E0000}"/>
    <cellStyle name="Normal 6 2 2 5 7" xfId="6331" xr:uid="{00000000-0005-0000-0000-00008A1E0000}"/>
    <cellStyle name="Normal 6 2 2 5 8" xfId="7769" xr:uid="{00000000-0005-0000-0000-00008B1E0000}"/>
    <cellStyle name="Normal 6 2 2 5 9" xfId="9206" xr:uid="{00000000-0005-0000-0000-00008C1E0000}"/>
    <cellStyle name="Normal 6 2 2 6" xfId="553" xr:uid="{00000000-0005-0000-0000-00008D1E0000}"/>
    <cellStyle name="Normal 6 2 2 6 2" xfId="1032" xr:uid="{00000000-0005-0000-0000-00008E1E0000}"/>
    <cellStyle name="Normal 6 2 2 6 2 2" xfId="2523" xr:uid="{00000000-0005-0000-0000-00008F1E0000}"/>
    <cellStyle name="Normal 6 2 2 6 2 3" xfId="3970" xr:uid="{00000000-0005-0000-0000-0000901E0000}"/>
    <cellStyle name="Normal 6 2 2 6 2 4" xfId="5407" xr:uid="{00000000-0005-0000-0000-0000911E0000}"/>
    <cellStyle name="Normal 6 2 2 6 2 5" xfId="6853" xr:uid="{00000000-0005-0000-0000-0000921E0000}"/>
    <cellStyle name="Normal 6 2 2 6 2 6" xfId="8293" xr:uid="{00000000-0005-0000-0000-0000931E0000}"/>
    <cellStyle name="Normal 6 2 2 6 2 7" xfId="9727" xr:uid="{00000000-0005-0000-0000-0000941E0000}"/>
    <cellStyle name="Normal 6 2 2 6 3" xfId="1584" xr:uid="{00000000-0005-0000-0000-0000951E0000}"/>
    <cellStyle name="Normal 6 2 2 6 3 2" xfId="3057" xr:uid="{00000000-0005-0000-0000-0000961E0000}"/>
    <cellStyle name="Normal 6 2 2 6 3 3" xfId="4494" xr:uid="{00000000-0005-0000-0000-0000971E0000}"/>
    <cellStyle name="Normal 6 2 2 6 3 4" xfId="5931" xr:uid="{00000000-0005-0000-0000-0000981E0000}"/>
    <cellStyle name="Normal 6 2 2 6 3 5" xfId="7377" xr:uid="{00000000-0005-0000-0000-0000991E0000}"/>
    <cellStyle name="Normal 6 2 2 6 3 6" xfId="8818" xr:uid="{00000000-0005-0000-0000-00009A1E0000}"/>
    <cellStyle name="Normal 6 2 2 6 3 7" xfId="10251" xr:uid="{00000000-0005-0000-0000-00009B1E0000}"/>
    <cellStyle name="Normal 6 2 2 6 4" xfId="2056" xr:uid="{00000000-0005-0000-0000-00009C1E0000}"/>
    <cellStyle name="Normal 6 2 2 6 5" xfId="3513" xr:uid="{00000000-0005-0000-0000-00009D1E0000}"/>
    <cellStyle name="Normal 6 2 2 6 6" xfId="4950" xr:uid="{00000000-0005-0000-0000-00009E1E0000}"/>
    <cellStyle name="Normal 6 2 2 6 7" xfId="6396" xr:uid="{00000000-0005-0000-0000-00009F1E0000}"/>
    <cellStyle name="Normal 6 2 2 6 8" xfId="7834" xr:uid="{00000000-0005-0000-0000-0000A01E0000}"/>
    <cellStyle name="Normal 6 2 2 6 9" xfId="9270" xr:uid="{00000000-0005-0000-0000-0000A11E0000}"/>
    <cellStyle name="Normal 6 2 2 7" xfId="695" xr:uid="{00000000-0005-0000-0000-0000A21E0000}"/>
    <cellStyle name="Normal 6 2 2 7 2" xfId="2186" xr:uid="{00000000-0005-0000-0000-0000A31E0000}"/>
    <cellStyle name="Normal 6 2 2 7 3" xfId="3643" xr:uid="{00000000-0005-0000-0000-0000A41E0000}"/>
    <cellStyle name="Normal 6 2 2 7 4" xfId="5080" xr:uid="{00000000-0005-0000-0000-0000A51E0000}"/>
    <cellStyle name="Normal 6 2 2 7 5" xfId="6526" xr:uid="{00000000-0005-0000-0000-0000A61E0000}"/>
    <cellStyle name="Normal 6 2 2 7 6" xfId="7965" xr:uid="{00000000-0005-0000-0000-0000A71E0000}"/>
    <cellStyle name="Normal 6 2 2 7 7" xfId="9400" xr:uid="{00000000-0005-0000-0000-0000A81E0000}"/>
    <cellStyle name="Normal 6 2 2 8" xfId="1186" xr:uid="{00000000-0005-0000-0000-0000A91E0000}"/>
    <cellStyle name="Normal 6 2 2 8 2" xfId="2665" xr:uid="{00000000-0005-0000-0000-0000AA1E0000}"/>
    <cellStyle name="Normal 6 2 2 8 3" xfId="4102" xr:uid="{00000000-0005-0000-0000-0000AB1E0000}"/>
    <cellStyle name="Normal 6 2 2 8 4" xfId="5539" xr:uid="{00000000-0005-0000-0000-0000AC1E0000}"/>
    <cellStyle name="Normal 6 2 2 8 5" xfId="6985" xr:uid="{00000000-0005-0000-0000-0000AD1E0000}"/>
    <cellStyle name="Normal 6 2 2 8 6" xfId="8426" xr:uid="{00000000-0005-0000-0000-0000AE1E0000}"/>
    <cellStyle name="Normal 6 2 2 8 7" xfId="9859" xr:uid="{00000000-0005-0000-0000-0000AF1E0000}"/>
    <cellStyle name="Normal 6 2 2 9" xfId="1251" xr:uid="{00000000-0005-0000-0000-0000B01E0000}"/>
    <cellStyle name="Normal 6 2 2 9 2" xfId="2730" xr:uid="{00000000-0005-0000-0000-0000B11E0000}"/>
    <cellStyle name="Normal 6 2 2 9 3" xfId="4167" xr:uid="{00000000-0005-0000-0000-0000B21E0000}"/>
    <cellStyle name="Normal 6 2 2 9 4" xfId="5604" xr:uid="{00000000-0005-0000-0000-0000B31E0000}"/>
    <cellStyle name="Normal 6 2 2 9 5" xfId="7050" xr:uid="{00000000-0005-0000-0000-0000B41E0000}"/>
    <cellStyle name="Normal 6 2 2 9 6" xfId="8491" xr:uid="{00000000-0005-0000-0000-0000B51E0000}"/>
    <cellStyle name="Normal 6 2 2 9 7" xfId="9924" xr:uid="{00000000-0005-0000-0000-0000B61E0000}"/>
    <cellStyle name="Normal 6 2 3" xfId="227" xr:uid="{00000000-0005-0000-0000-0000B71E0000}"/>
    <cellStyle name="Normal 6 2 3 10" xfId="3202" xr:uid="{00000000-0005-0000-0000-0000B81E0000}"/>
    <cellStyle name="Normal 6 2 3 11" xfId="4639" xr:uid="{00000000-0005-0000-0000-0000B91E0000}"/>
    <cellStyle name="Normal 6 2 3 12" xfId="6085" xr:uid="{00000000-0005-0000-0000-0000BA1E0000}"/>
    <cellStyle name="Normal 6 2 3 13" xfId="7523" xr:uid="{00000000-0005-0000-0000-0000BB1E0000}"/>
    <cellStyle name="Normal 6 2 3 14" xfId="8963" xr:uid="{00000000-0005-0000-0000-0000BC1E0000}"/>
    <cellStyle name="Normal 6 2 3 2" xfId="296" xr:uid="{00000000-0005-0000-0000-0000BD1E0000}"/>
    <cellStyle name="Normal 6 2 3 2 10" xfId="7588" xr:uid="{00000000-0005-0000-0000-0000BE1E0000}"/>
    <cellStyle name="Normal 6 2 3 2 11" xfId="9027" xr:uid="{00000000-0005-0000-0000-0000BF1E0000}"/>
    <cellStyle name="Normal 6 2 3 2 2" xfId="434" xr:uid="{00000000-0005-0000-0000-0000C01E0000}"/>
    <cellStyle name="Normal 6 2 3 2 2 2" xfId="916" xr:uid="{00000000-0005-0000-0000-0000C11E0000}"/>
    <cellStyle name="Normal 6 2 3 2 2 2 2" xfId="2407" xr:uid="{00000000-0005-0000-0000-0000C21E0000}"/>
    <cellStyle name="Normal 6 2 3 2 2 2 3" xfId="3854" xr:uid="{00000000-0005-0000-0000-0000C31E0000}"/>
    <cellStyle name="Normal 6 2 3 2 2 2 4" xfId="5291" xr:uid="{00000000-0005-0000-0000-0000C41E0000}"/>
    <cellStyle name="Normal 6 2 3 2 2 2 5" xfId="6737" xr:uid="{00000000-0005-0000-0000-0000C51E0000}"/>
    <cellStyle name="Normal 6 2 3 2 2 2 6" xfId="8177" xr:uid="{00000000-0005-0000-0000-0000C61E0000}"/>
    <cellStyle name="Normal 6 2 3 2 2 2 7" xfId="9611" xr:uid="{00000000-0005-0000-0000-0000C71E0000}"/>
    <cellStyle name="Normal 6 2 3 2 2 3" xfId="1468" xr:uid="{00000000-0005-0000-0000-0000C81E0000}"/>
    <cellStyle name="Normal 6 2 3 2 2 3 2" xfId="2941" xr:uid="{00000000-0005-0000-0000-0000C91E0000}"/>
    <cellStyle name="Normal 6 2 3 2 2 3 3" xfId="4378" xr:uid="{00000000-0005-0000-0000-0000CA1E0000}"/>
    <cellStyle name="Normal 6 2 3 2 2 3 4" xfId="5815" xr:uid="{00000000-0005-0000-0000-0000CB1E0000}"/>
    <cellStyle name="Normal 6 2 3 2 2 3 5" xfId="7261" xr:uid="{00000000-0005-0000-0000-0000CC1E0000}"/>
    <cellStyle name="Normal 6 2 3 2 2 3 6" xfId="8702" xr:uid="{00000000-0005-0000-0000-0000CD1E0000}"/>
    <cellStyle name="Normal 6 2 3 2 2 3 7" xfId="10135" xr:uid="{00000000-0005-0000-0000-0000CE1E0000}"/>
    <cellStyle name="Normal 6 2 3 2 2 4" xfId="1940" xr:uid="{00000000-0005-0000-0000-0000CF1E0000}"/>
    <cellStyle name="Normal 6 2 3 2 2 5" xfId="3397" xr:uid="{00000000-0005-0000-0000-0000D01E0000}"/>
    <cellStyle name="Normal 6 2 3 2 2 6" xfId="4834" xr:uid="{00000000-0005-0000-0000-0000D11E0000}"/>
    <cellStyle name="Normal 6 2 3 2 2 7" xfId="6280" xr:uid="{00000000-0005-0000-0000-0000D21E0000}"/>
    <cellStyle name="Normal 6 2 3 2 2 8" xfId="7718" xr:uid="{00000000-0005-0000-0000-0000D31E0000}"/>
    <cellStyle name="Normal 6 2 3 2 2 9" xfId="9155" xr:uid="{00000000-0005-0000-0000-0000D41E0000}"/>
    <cellStyle name="Normal 6 2 3 2 3" xfId="638" xr:uid="{00000000-0005-0000-0000-0000D51E0000}"/>
    <cellStyle name="Normal 6 2 3 2 3 2" xfId="1117" xr:uid="{00000000-0005-0000-0000-0000D61E0000}"/>
    <cellStyle name="Normal 6 2 3 2 3 2 2" xfId="2608" xr:uid="{00000000-0005-0000-0000-0000D71E0000}"/>
    <cellStyle name="Normal 6 2 3 2 3 2 3" xfId="4051" xr:uid="{00000000-0005-0000-0000-0000D81E0000}"/>
    <cellStyle name="Normal 6 2 3 2 3 2 4" xfId="5488" xr:uid="{00000000-0005-0000-0000-0000D91E0000}"/>
    <cellStyle name="Normal 6 2 3 2 3 2 5" xfId="6934" xr:uid="{00000000-0005-0000-0000-0000DA1E0000}"/>
    <cellStyle name="Normal 6 2 3 2 3 2 6" xfId="8374" xr:uid="{00000000-0005-0000-0000-0000DB1E0000}"/>
    <cellStyle name="Normal 6 2 3 2 3 2 7" xfId="9808" xr:uid="{00000000-0005-0000-0000-0000DC1E0000}"/>
    <cellStyle name="Normal 6 2 3 2 3 3" xfId="1667" xr:uid="{00000000-0005-0000-0000-0000DD1E0000}"/>
    <cellStyle name="Normal 6 2 3 2 3 3 2" xfId="3138" xr:uid="{00000000-0005-0000-0000-0000DE1E0000}"/>
    <cellStyle name="Normal 6 2 3 2 3 3 3" xfId="4575" xr:uid="{00000000-0005-0000-0000-0000DF1E0000}"/>
    <cellStyle name="Normal 6 2 3 2 3 3 4" xfId="6012" xr:uid="{00000000-0005-0000-0000-0000E01E0000}"/>
    <cellStyle name="Normal 6 2 3 2 3 3 5" xfId="7458" xr:uid="{00000000-0005-0000-0000-0000E11E0000}"/>
    <cellStyle name="Normal 6 2 3 2 3 3 6" xfId="8899" xr:uid="{00000000-0005-0000-0000-0000E21E0000}"/>
    <cellStyle name="Normal 6 2 3 2 3 3 7" xfId="10332" xr:uid="{00000000-0005-0000-0000-0000E31E0000}"/>
    <cellStyle name="Normal 6 2 3 2 3 4" xfId="2137" xr:uid="{00000000-0005-0000-0000-0000E41E0000}"/>
    <cellStyle name="Normal 6 2 3 2 3 5" xfId="3594" xr:uid="{00000000-0005-0000-0000-0000E51E0000}"/>
    <cellStyle name="Normal 6 2 3 2 3 6" xfId="5031" xr:uid="{00000000-0005-0000-0000-0000E61E0000}"/>
    <cellStyle name="Normal 6 2 3 2 3 7" xfId="6477" xr:uid="{00000000-0005-0000-0000-0000E71E0000}"/>
    <cellStyle name="Normal 6 2 3 2 3 8" xfId="7916" xr:uid="{00000000-0005-0000-0000-0000E81E0000}"/>
    <cellStyle name="Normal 6 2 3 2 3 9" xfId="9351" xr:uid="{00000000-0005-0000-0000-0000E91E0000}"/>
    <cellStyle name="Normal 6 2 3 2 4" xfId="780" xr:uid="{00000000-0005-0000-0000-0000EA1E0000}"/>
    <cellStyle name="Normal 6 2 3 2 4 2" xfId="2271" xr:uid="{00000000-0005-0000-0000-0000EB1E0000}"/>
    <cellStyle name="Normal 6 2 3 2 4 3" xfId="3724" xr:uid="{00000000-0005-0000-0000-0000EC1E0000}"/>
    <cellStyle name="Normal 6 2 3 2 4 4" xfId="5161" xr:uid="{00000000-0005-0000-0000-0000ED1E0000}"/>
    <cellStyle name="Normal 6 2 3 2 4 5" xfId="6607" xr:uid="{00000000-0005-0000-0000-0000EE1E0000}"/>
    <cellStyle name="Normal 6 2 3 2 4 6" xfId="8047" xr:uid="{00000000-0005-0000-0000-0000EF1E0000}"/>
    <cellStyle name="Normal 6 2 3 2 4 7" xfId="9481" xr:uid="{00000000-0005-0000-0000-0000F01E0000}"/>
    <cellStyle name="Normal 6 2 3 2 5" xfId="1336" xr:uid="{00000000-0005-0000-0000-0000F11E0000}"/>
    <cellStyle name="Normal 6 2 3 2 5 2" xfId="2811" xr:uid="{00000000-0005-0000-0000-0000F21E0000}"/>
    <cellStyle name="Normal 6 2 3 2 5 3" xfId="4248" xr:uid="{00000000-0005-0000-0000-0000F31E0000}"/>
    <cellStyle name="Normal 6 2 3 2 5 4" xfId="5685" xr:uid="{00000000-0005-0000-0000-0000F41E0000}"/>
    <cellStyle name="Normal 6 2 3 2 5 5" xfId="7131" xr:uid="{00000000-0005-0000-0000-0000F51E0000}"/>
    <cellStyle name="Normal 6 2 3 2 5 6" xfId="8572" xr:uid="{00000000-0005-0000-0000-0000F61E0000}"/>
    <cellStyle name="Normal 6 2 3 2 5 7" xfId="10005" xr:uid="{00000000-0005-0000-0000-0000F71E0000}"/>
    <cellStyle name="Normal 6 2 3 2 6" xfId="1810" xr:uid="{00000000-0005-0000-0000-0000F81E0000}"/>
    <cellStyle name="Normal 6 2 3 2 7" xfId="3267" xr:uid="{00000000-0005-0000-0000-0000F91E0000}"/>
    <cellStyle name="Normal 6 2 3 2 8" xfId="4704" xr:uid="{00000000-0005-0000-0000-0000FA1E0000}"/>
    <cellStyle name="Normal 6 2 3 2 9" xfId="6150" xr:uid="{00000000-0005-0000-0000-0000FB1E0000}"/>
    <cellStyle name="Normal 6 2 3 3" xfId="365" xr:uid="{00000000-0005-0000-0000-0000FC1E0000}"/>
    <cellStyle name="Normal 6 2 3 3 2" xfId="847" xr:uid="{00000000-0005-0000-0000-0000FD1E0000}"/>
    <cellStyle name="Normal 6 2 3 3 2 2" xfId="2338" xr:uid="{00000000-0005-0000-0000-0000FE1E0000}"/>
    <cellStyle name="Normal 6 2 3 3 2 3" xfId="3789" xr:uid="{00000000-0005-0000-0000-0000FF1E0000}"/>
    <cellStyle name="Normal 6 2 3 3 2 4" xfId="5226" xr:uid="{00000000-0005-0000-0000-0000001F0000}"/>
    <cellStyle name="Normal 6 2 3 3 2 5" xfId="6672" xr:uid="{00000000-0005-0000-0000-0000011F0000}"/>
    <cellStyle name="Normal 6 2 3 3 2 6" xfId="8112" xr:uid="{00000000-0005-0000-0000-0000021F0000}"/>
    <cellStyle name="Normal 6 2 3 3 2 7" xfId="9546" xr:uid="{00000000-0005-0000-0000-0000031F0000}"/>
    <cellStyle name="Normal 6 2 3 3 3" xfId="1401" xr:uid="{00000000-0005-0000-0000-0000041F0000}"/>
    <cellStyle name="Normal 6 2 3 3 3 2" xfId="2876" xr:uid="{00000000-0005-0000-0000-0000051F0000}"/>
    <cellStyle name="Normal 6 2 3 3 3 3" xfId="4313" xr:uid="{00000000-0005-0000-0000-0000061F0000}"/>
    <cellStyle name="Normal 6 2 3 3 3 4" xfId="5750" xr:uid="{00000000-0005-0000-0000-0000071F0000}"/>
    <cellStyle name="Normal 6 2 3 3 3 5" xfId="7196" xr:uid="{00000000-0005-0000-0000-0000081F0000}"/>
    <cellStyle name="Normal 6 2 3 3 3 6" xfId="8637" xr:uid="{00000000-0005-0000-0000-0000091F0000}"/>
    <cellStyle name="Normal 6 2 3 3 3 7" xfId="10070" xr:uid="{00000000-0005-0000-0000-00000A1F0000}"/>
    <cellStyle name="Normal 6 2 3 3 4" xfId="1875" xr:uid="{00000000-0005-0000-0000-00000B1F0000}"/>
    <cellStyle name="Normal 6 2 3 3 5" xfId="3332" xr:uid="{00000000-0005-0000-0000-00000C1F0000}"/>
    <cellStyle name="Normal 6 2 3 3 6" xfId="4769" xr:uid="{00000000-0005-0000-0000-00000D1F0000}"/>
    <cellStyle name="Normal 6 2 3 3 7" xfId="6215" xr:uid="{00000000-0005-0000-0000-00000E1F0000}"/>
    <cellStyle name="Normal 6 2 3 3 8" xfId="7653" xr:uid="{00000000-0005-0000-0000-00000F1F0000}"/>
    <cellStyle name="Normal 6 2 3 3 9" xfId="9090" xr:uid="{00000000-0005-0000-0000-0000101F0000}"/>
    <cellStyle name="Normal 6 2 3 4" xfId="504" xr:uid="{00000000-0005-0000-0000-0000111F0000}"/>
    <cellStyle name="Normal 6 2 3 4 2" xfId="983" xr:uid="{00000000-0005-0000-0000-0000121F0000}"/>
    <cellStyle name="Normal 6 2 3 4 2 2" xfId="2474" xr:uid="{00000000-0005-0000-0000-0000131F0000}"/>
    <cellStyle name="Normal 6 2 3 4 2 3" xfId="3921" xr:uid="{00000000-0005-0000-0000-0000141F0000}"/>
    <cellStyle name="Normal 6 2 3 4 2 4" xfId="5358" xr:uid="{00000000-0005-0000-0000-0000151F0000}"/>
    <cellStyle name="Normal 6 2 3 4 2 5" xfId="6804" xr:uid="{00000000-0005-0000-0000-0000161F0000}"/>
    <cellStyle name="Normal 6 2 3 4 2 6" xfId="8244" xr:uid="{00000000-0005-0000-0000-0000171F0000}"/>
    <cellStyle name="Normal 6 2 3 4 2 7" xfId="9678" xr:uid="{00000000-0005-0000-0000-0000181F0000}"/>
    <cellStyle name="Normal 6 2 3 4 3" xfId="1535" xr:uid="{00000000-0005-0000-0000-0000191F0000}"/>
    <cellStyle name="Normal 6 2 3 4 3 2" xfId="3008" xr:uid="{00000000-0005-0000-0000-00001A1F0000}"/>
    <cellStyle name="Normal 6 2 3 4 3 3" xfId="4445" xr:uid="{00000000-0005-0000-0000-00001B1F0000}"/>
    <cellStyle name="Normal 6 2 3 4 3 4" xfId="5882" xr:uid="{00000000-0005-0000-0000-00001C1F0000}"/>
    <cellStyle name="Normal 6 2 3 4 3 5" xfId="7328" xr:uid="{00000000-0005-0000-0000-00001D1F0000}"/>
    <cellStyle name="Normal 6 2 3 4 3 6" xfId="8769" xr:uid="{00000000-0005-0000-0000-00001E1F0000}"/>
    <cellStyle name="Normal 6 2 3 4 3 7" xfId="10202" xr:uid="{00000000-0005-0000-0000-00001F1F0000}"/>
    <cellStyle name="Normal 6 2 3 4 4" xfId="2007" xr:uid="{00000000-0005-0000-0000-0000201F0000}"/>
    <cellStyle name="Normal 6 2 3 4 5" xfId="3464" xr:uid="{00000000-0005-0000-0000-0000211F0000}"/>
    <cellStyle name="Normal 6 2 3 4 6" xfId="4901" xr:uid="{00000000-0005-0000-0000-0000221F0000}"/>
    <cellStyle name="Normal 6 2 3 4 7" xfId="6347" xr:uid="{00000000-0005-0000-0000-0000231F0000}"/>
    <cellStyle name="Normal 6 2 3 4 8" xfId="7785" xr:uid="{00000000-0005-0000-0000-0000241F0000}"/>
    <cellStyle name="Normal 6 2 3 4 9" xfId="9222" xr:uid="{00000000-0005-0000-0000-0000251F0000}"/>
    <cellStyle name="Normal 6 2 3 5" xfId="569" xr:uid="{00000000-0005-0000-0000-0000261F0000}"/>
    <cellStyle name="Normal 6 2 3 5 2" xfId="1048" xr:uid="{00000000-0005-0000-0000-0000271F0000}"/>
    <cellStyle name="Normal 6 2 3 5 2 2" xfId="2539" xr:uid="{00000000-0005-0000-0000-0000281F0000}"/>
    <cellStyle name="Normal 6 2 3 5 2 3" xfId="3986" xr:uid="{00000000-0005-0000-0000-0000291F0000}"/>
    <cellStyle name="Normal 6 2 3 5 2 4" xfId="5423" xr:uid="{00000000-0005-0000-0000-00002A1F0000}"/>
    <cellStyle name="Normal 6 2 3 5 2 5" xfId="6869" xr:uid="{00000000-0005-0000-0000-00002B1F0000}"/>
    <cellStyle name="Normal 6 2 3 5 2 6" xfId="8309" xr:uid="{00000000-0005-0000-0000-00002C1F0000}"/>
    <cellStyle name="Normal 6 2 3 5 2 7" xfId="9743" xr:uid="{00000000-0005-0000-0000-00002D1F0000}"/>
    <cellStyle name="Normal 6 2 3 5 3" xfId="1600" xr:uid="{00000000-0005-0000-0000-00002E1F0000}"/>
    <cellStyle name="Normal 6 2 3 5 3 2" xfId="3073" xr:uid="{00000000-0005-0000-0000-00002F1F0000}"/>
    <cellStyle name="Normal 6 2 3 5 3 3" xfId="4510" xr:uid="{00000000-0005-0000-0000-0000301F0000}"/>
    <cellStyle name="Normal 6 2 3 5 3 4" xfId="5947" xr:uid="{00000000-0005-0000-0000-0000311F0000}"/>
    <cellStyle name="Normal 6 2 3 5 3 5" xfId="7393" xr:uid="{00000000-0005-0000-0000-0000321F0000}"/>
    <cellStyle name="Normal 6 2 3 5 3 6" xfId="8834" xr:uid="{00000000-0005-0000-0000-0000331F0000}"/>
    <cellStyle name="Normal 6 2 3 5 3 7" xfId="10267" xr:uid="{00000000-0005-0000-0000-0000341F0000}"/>
    <cellStyle name="Normal 6 2 3 5 4" xfId="2072" xr:uid="{00000000-0005-0000-0000-0000351F0000}"/>
    <cellStyle name="Normal 6 2 3 5 5" xfId="3529" xr:uid="{00000000-0005-0000-0000-0000361F0000}"/>
    <cellStyle name="Normal 6 2 3 5 6" xfId="4966" xr:uid="{00000000-0005-0000-0000-0000371F0000}"/>
    <cellStyle name="Normal 6 2 3 5 7" xfId="6412" xr:uid="{00000000-0005-0000-0000-0000381F0000}"/>
    <cellStyle name="Normal 6 2 3 5 8" xfId="7850" xr:uid="{00000000-0005-0000-0000-0000391F0000}"/>
    <cellStyle name="Normal 6 2 3 5 9" xfId="9286" xr:uid="{00000000-0005-0000-0000-00003A1F0000}"/>
    <cellStyle name="Normal 6 2 3 6" xfId="711" xr:uid="{00000000-0005-0000-0000-00003B1F0000}"/>
    <cellStyle name="Normal 6 2 3 6 2" xfId="2202" xr:uid="{00000000-0005-0000-0000-00003C1F0000}"/>
    <cellStyle name="Normal 6 2 3 6 3" xfId="3659" xr:uid="{00000000-0005-0000-0000-00003D1F0000}"/>
    <cellStyle name="Normal 6 2 3 6 4" xfId="5096" xr:uid="{00000000-0005-0000-0000-00003E1F0000}"/>
    <cellStyle name="Normal 6 2 3 6 5" xfId="6542" xr:uid="{00000000-0005-0000-0000-00003F1F0000}"/>
    <cellStyle name="Normal 6 2 3 6 6" xfId="7981" xr:uid="{00000000-0005-0000-0000-0000401F0000}"/>
    <cellStyle name="Normal 6 2 3 6 7" xfId="9416" xr:uid="{00000000-0005-0000-0000-0000411F0000}"/>
    <cellStyle name="Normal 6 2 3 7" xfId="1202" xr:uid="{00000000-0005-0000-0000-0000421F0000}"/>
    <cellStyle name="Normal 6 2 3 7 2" xfId="2681" xr:uid="{00000000-0005-0000-0000-0000431F0000}"/>
    <cellStyle name="Normal 6 2 3 7 3" xfId="4118" xr:uid="{00000000-0005-0000-0000-0000441F0000}"/>
    <cellStyle name="Normal 6 2 3 7 4" xfId="5555" xr:uid="{00000000-0005-0000-0000-0000451F0000}"/>
    <cellStyle name="Normal 6 2 3 7 5" xfId="7001" xr:uid="{00000000-0005-0000-0000-0000461F0000}"/>
    <cellStyle name="Normal 6 2 3 7 6" xfId="8442" xr:uid="{00000000-0005-0000-0000-0000471F0000}"/>
    <cellStyle name="Normal 6 2 3 7 7" xfId="9875" xr:uid="{00000000-0005-0000-0000-0000481F0000}"/>
    <cellStyle name="Normal 6 2 3 8" xfId="1267" xr:uid="{00000000-0005-0000-0000-0000491F0000}"/>
    <cellStyle name="Normal 6 2 3 8 2" xfId="2746" xr:uid="{00000000-0005-0000-0000-00004A1F0000}"/>
    <cellStyle name="Normal 6 2 3 8 3" xfId="4183" xr:uid="{00000000-0005-0000-0000-00004B1F0000}"/>
    <cellStyle name="Normal 6 2 3 8 4" xfId="5620" xr:uid="{00000000-0005-0000-0000-00004C1F0000}"/>
    <cellStyle name="Normal 6 2 3 8 5" xfId="7066" xr:uid="{00000000-0005-0000-0000-00004D1F0000}"/>
    <cellStyle name="Normal 6 2 3 8 6" xfId="8507" xr:uid="{00000000-0005-0000-0000-00004E1F0000}"/>
    <cellStyle name="Normal 6 2 3 8 7" xfId="9940" xr:uid="{00000000-0005-0000-0000-00004F1F0000}"/>
    <cellStyle name="Normal 6 2 3 9" xfId="1745" xr:uid="{00000000-0005-0000-0000-0000501F0000}"/>
    <cellStyle name="Normal 6 2 4" xfId="264" xr:uid="{00000000-0005-0000-0000-0000511F0000}"/>
    <cellStyle name="Normal 6 2 4 10" xfId="7554" xr:uid="{00000000-0005-0000-0000-0000521F0000}"/>
    <cellStyle name="Normal 6 2 4 11" xfId="8993" xr:uid="{00000000-0005-0000-0000-0000531F0000}"/>
    <cellStyle name="Normal 6 2 4 2" xfId="400" xr:uid="{00000000-0005-0000-0000-0000541F0000}"/>
    <cellStyle name="Normal 6 2 4 2 2" xfId="882" xr:uid="{00000000-0005-0000-0000-0000551F0000}"/>
    <cellStyle name="Normal 6 2 4 2 2 2" xfId="2373" xr:uid="{00000000-0005-0000-0000-0000561F0000}"/>
    <cellStyle name="Normal 6 2 4 2 2 3" xfId="3820" xr:uid="{00000000-0005-0000-0000-0000571F0000}"/>
    <cellStyle name="Normal 6 2 4 2 2 4" xfId="5257" xr:uid="{00000000-0005-0000-0000-0000581F0000}"/>
    <cellStyle name="Normal 6 2 4 2 2 5" xfId="6703" xr:uid="{00000000-0005-0000-0000-0000591F0000}"/>
    <cellStyle name="Normal 6 2 4 2 2 6" xfId="8143" xr:uid="{00000000-0005-0000-0000-00005A1F0000}"/>
    <cellStyle name="Normal 6 2 4 2 2 7" xfId="9577" xr:uid="{00000000-0005-0000-0000-00005B1F0000}"/>
    <cellStyle name="Normal 6 2 4 2 3" xfId="1434" xr:uid="{00000000-0005-0000-0000-00005C1F0000}"/>
    <cellStyle name="Normal 6 2 4 2 3 2" xfId="2907" xr:uid="{00000000-0005-0000-0000-00005D1F0000}"/>
    <cellStyle name="Normal 6 2 4 2 3 3" xfId="4344" xr:uid="{00000000-0005-0000-0000-00005E1F0000}"/>
    <cellStyle name="Normal 6 2 4 2 3 4" xfId="5781" xr:uid="{00000000-0005-0000-0000-00005F1F0000}"/>
    <cellStyle name="Normal 6 2 4 2 3 5" xfId="7227" xr:uid="{00000000-0005-0000-0000-0000601F0000}"/>
    <cellStyle name="Normal 6 2 4 2 3 6" xfId="8668" xr:uid="{00000000-0005-0000-0000-0000611F0000}"/>
    <cellStyle name="Normal 6 2 4 2 3 7" xfId="10101" xr:uid="{00000000-0005-0000-0000-0000621F0000}"/>
    <cellStyle name="Normal 6 2 4 2 4" xfId="1906" xr:uid="{00000000-0005-0000-0000-0000631F0000}"/>
    <cellStyle name="Normal 6 2 4 2 5" xfId="3363" xr:uid="{00000000-0005-0000-0000-0000641F0000}"/>
    <cellStyle name="Normal 6 2 4 2 6" xfId="4800" xr:uid="{00000000-0005-0000-0000-0000651F0000}"/>
    <cellStyle name="Normal 6 2 4 2 7" xfId="6246" xr:uid="{00000000-0005-0000-0000-0000661F0000}"/>
    <cellStyle name="Normal 6 2 4 2 8" xfId="7684" xr:uid="{00000000-0005-0000-0000-0000671F0000}"/>
    <cellStyle name="Normal 6 2 4 2 9" xfId="9121" xr:uid="{00000000-0005-0000-0000-0000681F0000}"/>
    <cellStyle name="Normal 6 2 4 3" xfId="604" xr:uid="{00000000-0005-0000-0000-0000691F0000}"/>
    <cellStyle name="Normal 6 2 4 3 2" xfId="1083" xr:uid="{00000000-0005-0000-0000-00006A1F0000}"/>
    <cellStyle name="Normal 6 2 4 3 2 2" xfId="2574" xr:uid="{00000000-0005-0000-0000-00006B1F0000}"/>
    <cellStyle name="Normal 6 2 4 3 2 3" xfId="4017" xr:uid="{00000000-0005-0000-0000-00006C1F0000}"/>
    <cellStyle name="Normal 6 2 4 3 2 4" xfId="5454" xr:uid="{00000000-0005-0000-0000-00006D1F0000}"/>
    <cellStyle name="Normal 6 2 4 3 2 5" xfId="6900" xr:uid="{00000000-0005-0000-0000-00006E1F0000}"/>
    <cellStyle name="Normal 6 2 4 3 2 6" xfId="8340" xr:uid="{00000000-0005-0000-0000-00006F1F0000}"/>
    <cellStyle name="Normal 6 2 4 3 2 7" xfId="9774" xr:uid="{00000000-0005-0000-0000-0000701F0000}"/>
    <cellStyle name="Normal 6 2 4 3 3" xfId="1633" xr:uid="{00000000-0005-0000-0000-0000711F0000}"/>
    <cellStyle name="Normal 6 2 4 3 3 2" xfId="3104" xr:uid="{00000000-0005-0000-0000-0000721F0000}"/>
    <cellStyle name="Normal 6 2 4 3 3 3" xfId="4541" xr:uid="{00000000-0005-0000-0000-0000731F0000}"/>
    <cellStyle name="Normal 6 2 4 3 3 4" xfId="5978" xr:uid="{00000000-0005-0000-0000-0000741F0000}"/>
    <cellStyle name="Normal 6 2 4 3 3 5" xfId="7424" xr:uid="{00000000-0005-0000-0000-0000751F0000}"/>
    <cellStyle name="Normal 6 2 4 3 3 6" xfId="8865" xr:uid="{00000000-0005-0000-0000-0000761F0000}"/>
    <cellStyle name="Normal 6 2 4 3 3 7" xfId="10298" xr:uid="{00000000-0005-0000-0000-0000771F0000}"/>
    <cellStyle name="Normal 6 2 4 3 4" xfId="2103" xr:uid="{00000000-0005-0000-0000-0000781F0000}"/>
    <cellStyle name="Normal 6 2 4 3 5" xfId="3560" xr:uid="{00000000-0005-0000-0000-0000791F0000}"/>
    <cellStyle name="Normal 6 2 4 3 6" xfId="4997" xr:uid="{00000000-0005-0000-0000-00007A1F0000}"/>
    <cellStyle name="Normal 6 2 4 3 7" xfId="6443" xr:uid="{00000000-0005-0000-0000-00007B1F0000}"/>
    <cellStyle name="Normal 6 2 4 3 8" xfId="7882" xr:uid="{00000000-0005-0000-0000-00007C1F0000}"/>
    <cellStyle name="Normal 6 2 4 3 9" xfId="9317" xr:uid="{00000000-0005-0000-0000-00007D1F0000}"/>
    <cellStyle name="Normal 6 2 4 4" xfId="746" xr:uid="{00000000-0005-0000-0000-00007E1F0000}"/>
    <cellStyle name="Normal 6 2 4 4 2" xfId="2237" xr:uid="{00000000-0005-0000-0000-00007F1F0000}"/>
    <cellStyle name="Normal 6 2 4 4 3" xfId="3690" xr:uid="{00000000-0005-0000-0000-0000801F0000}"/>
    <cellStyle name="Normal 6 2 4 4 4" xfId="5127" xr:uid="{00000000-0005-0000-0000-0000811F0000}"/>
    <cellStyle name="Normal 6 2 4 4 5" xfId="6573" xr:uid="{00000000-0005-0000-0000-0000821F0000}"/>
    <cellStyle name="Normal 6 2 4 4 6" xfId="8013" xr:uid="{00000000-0005-0000-0000-0000831F0000}"/>
    <cellStyle name="Normal 6 2 4 4 7" xfId="9447" xr:uid="{00000000-0005-0000-0000-0000841F0000}"/>
    <cellStyle name="Normal 6 2 4 5" xfId="1302" xr:uid="{00000000-0005-0000-0000-0000851F0000}"/>
    <cellStyle name="Normal 6 2 4 5 2" xfId="2777" xr:uid="{00000000-0005-0000-0000-0000861F0000}"/>
    <cellStyle name="Normal 6 2 4 5 3" xfId="4214" xr:uid="{00000000-0005-0000-0000-0000871F0000}"/>
    <cellStyle name="Normal 6 2 4 5 4" xfId="5651" xr:uid="{00000000-0005-0000-0000-0000881F0000}"/>
    <cellStyle name="Normal 6 2 4 5 5" xfId="7097" xr:uid="{00000000-0005-0000-0000-0000891F0000}"/>
    <cellStyle name="Normal 6 2 4 5 6" xfId="8538" xr:uid="{00000000-0005-0000-0000-00008A1F0000}"/>
    <cellStyle name="Normal 6 2 4 5 7" xfId="9971" xr:uid="{00000000-0005-0000-0000-00008B1F0000}"/>
    <cellStyle name="Normal 6 2 4 6" xfId="1776" xr:uid="{00000000-0005-0000-0000-00008C1F0000}"/>
    <cellStyle name="Normal 6 2 4 7" xfId="3233" xr:uid="{00000000-0005-0000-0000-00008D1F0000}"/>
    <cellStyle name="Normal 6 2 4 8" xfId="4670" xr:uid="{00000000-0005-0000-0000-00008E1F0000}"/>
    <cellStyle name="Normal 6 2 4 9" xfId="6116" xr:uid="{00000000-0005-0000-0000-00008F1F0000}"/>
    <cellStyle name="Normal 6 2 5" xfId="331" xr:uid="{00000000-0005-0000-0000-0000901F0000}"/>
    <cellStyle name="Normal 6 2 5 2" xfId="813" xr:uid="{00000000-0005-0000-0000-0000911F0000}"/>
    <cellStyle name="Normal 6 2 5 2 2" xfId="2304" xr:uid="{00000000-0005-0000-0000-0000921F0000}"/>
    <cellStyle name="Normal 6 2 5 2 3" xfId="3755" xr:uid="{00000000-0005-0000-0000-0000931F0000}"/>
    <cellStyle name="Normal 6 2 5 2 4" xfId="5192" xr:uid="{00000000-0005-0000-0000-0000941F0000}"/>
    <cellStyle name="Normal 6 2 5 2 5" xfId="6638" xr:uid="{00000000-0005-0000-0000-0000951F0000}"/>
    <cellStyle name="Normal 6 2 5 2 6" xfId="8078" xr:uid="{00000000-0005-0000-0000-0000961F0000}"/>
    <cellStyle name="Normal 6 2 5 2 7" xfId="9512" xr:uid="{00000000-0005-0000-0000-0000971F0000}"/>
    <cellStyle name="Normal 6 2 5 3" xfId="1367" xr:uid="{00000000-0005-0000-0000-0000981F0000}"/>
    <cellStyle name="Normal 6 2 5 3 2" xfId="2842" xr:uid="{00000000-0005-0000-0000-0000991F0000}"/>
    <cellStyle name="Normal 6 2 5 3 3" xfId="4279" xr:uid="{00000000-0005-0000-0000-00009A1F0000}"/>
    <cellStyle name="Normal 6 2 5 3 4" xfId="5716" xr:uid="{00000000-0005-0000-0000-00009B1F0000}"/>
    <cellStyle name="Normal 6 2 5 3 5" xfId="7162" xr:uid="{00000000-0005-0000-0000-00009C1F0000}"/>
    <cellStyle name="Normal 6 2 5 3 6" xfId="8603" xr:uid="{00000000-0005-0000-0000-00009D1F0000}"/>
    <cellStyle name="Normal 6 2 5 3 7" xfId="10036" xr:uid="{00000000-0005-0000-0000-00009E1F0000}"/>
    <cellStyle name="Normal 6 2 5 4" xfId="1841" xr:uid="{00000000-0005-0000-0000-00009F1F0000}"/>
    <cellStyle name="Normal 6 2 5 5" xfId="3298" xr:uid="{00000000-0005-0000-0000-0000A01F0000}"/>
    <cellStyle name="Normal 6 2 5 6" xfId="4735" xr:uid="{00000000-0005-0000-0000-0000A11F0000}"/>
    <cellStyle name="Normal 6 2 5 7" xfId="6181" xr:uid="{00000000-0005-0000-0000-0000A21F0000}"/>
    <cellStyle name="Normal 6 2 5 8" xfId="7619" xr:uid="{00000000-0005-0000-0000-0000A31F0000}"/>
    <cellStyle name="Normal 6 2 5 9" xfId="9057" xr:uid="{00000000-0005-0000-0000-0000A41F0000}"/>
    <cellStyle name="Normal 6 2 6" xfId="470" xr:uid="{00000000-0005-0000-0000-0000A51F0000}"/>
    <cellStyle name="Normal 6 2 6 2" xfId="949" xr:uid="{00000000-0005-0000-0000-0000A61F0000}"/>
    <cellStyle name="Normal 6 2 6 2 2" xfId="2440" xr:uid="{00000000-0005-0000-0000-0000A71F0000}"/>
    <cellStyle name="Normal 6 2 6 2 3" xfId="3887" xr:uid="{00000000-0005-0000-0000-0000A81F0000}"/>
    <cellStyle name="Normal 6 2 6 2 4" xfId="5324" xr:uid="{00000000-0005-0000-0000-0000A91F0000}"/>
    <cellStyle name="Normal 6 2 6 2 5" xfId="6770" xr:uid="{00000000-0005-0000-0000-0000AA1F0000}"/>
    <cellStyle name="Normal 6 2 6 2 6" xfId="8210" xr:uid="{00000000-0005-0000-0000-0000AB1F0000}"/>
    <cellStyle name="Normal 6 2 6 2 7" xfId="9644" xr:uid="{00000000-0005-0000-0000-0000AC1F0000}"/>
    <cellStyle name="Normal 6 2 6 3" xfId="1501" xr:uid="{00000000-0005-0000-0000-0000AD1F0000}"/>
    <cellStyle name="Normal 6 2 6 3 2" xfId="2974" xr:uid="{00000000-0005-0000-0000-0000AE1F0000}"/>
    <cellStyle name="Normal 6 2 6 3 3" xfId="4411" xr:uid="{00000000-0005-0000-0000-0000AF1F0000}"/>
    <cellStyle name="Normal 6 2 6 3 4" xfId="5848" xr:uid="{00000000-0005-0000-0000-0000B01F0000}"/>
    <cellStyle name="Normal 6 2 6 3 5" xfId="7294" xr:uid="{00000000-0005-0000-0000-0000B11F0000}"/>
    <cellStyle name="Normal 6 2 6 3 6" xfId="8735" xr:uid="{00000000-0005-0000-0000-0000B21F0000}"/>
    <cellStyle name="Normal 6 2 6 3 7" xfId="10168" xr:uid="{00000000-0005-0000-0000-0000B31F0000}"/>
    <cellStyle name="Normal 6 2 6 4" xfId="1973" xr:uid="{00000000-0005-0000-0000-0000B41F0000}"/>
    <cellStyle name="Normal 6 2 6 5" xfId="3430" xr:uid="{00000000-0005-0000-0000-0000B51F0000}"/>
    <cellStyle name="Normal 6 2 6 6" xfId="4867" xr:uid="{00000000-0005-0000-0000-0000B61F0000}"/>
    <cellStyle name="Normal 6 2 6 7" xfId="6313" xr:uid="{00000000-0005-0000-0000-0000B71F0000}"/>
    <cellStyle name="Normal 6 2 6 8" xfId="7751" xr:uid="{00000000-0005-0000-0000-0000B81F0000}"/>
    <cellStyle name="Normal 6 2 6 9" xfId="9188" xr:uid="{00000000-0005-0000-0000-0000B91F0000}"/>
    <cellStyle name="Normal 6 2 7" xfId="535" xr:uid="{00000000-0005-0000-0000-0000BA1F0000}"/>
    <cellStyle name="Normal 6 2 7 2" xfId="1014" xr:uid="{00000000-0005-0000-0000-0000BB1F0000}"/>
    <cellStyle name="Normal 6 2 7 2 2" xfId="2505" xr:uid="{00000000-0005-0000-0000-0000BC1F0000}"/>
    <cellStyle name="Normal 6 2 7 2 3" xfId="3952" xr:uid="{00000000-0005-0000-0000-0000BD1F0000}"/>
    <cellStyle name="Normal 6 2 7 2 4" xfId="5389" xr:uid="{00000000-0005-0000-0000-0000BE1F0000}"/>
    <cellStyle name="Normal 6 2 7 2 5" xfId="6835" xr:uid="{00000000-0005-0000-0000-0000BF1F0000}"/>
    <cellStyle name="Normal 6 2 7 2 6" xfId="8275" xr:uid="{00000000-0005-0000-0000-0000C01F0000}"/>
    <cellStyle name="Normal 6 2 7 2 7" xfId="9709" xr:uid="{00000000-0005-0000-0000-0000C11F0000}"/>
    <cellStyle name="Normal 6 2 7 3" xfId="1566" xr:uid="{00000000-0005-0000-0000-0000C21F0000}"/>
    <cellStyle name="Normal 6 2 7 3 2" xfId="3039" xr:uid="{00000000-0005-0000-0000-0000C31F0000}"/>
    <cellStyle name="Normal 6 2 7 3 3" xfId="4476" xr:uid="{00000000-0005-0000-0000-0000C41F0000}"/>
    <cellStyle name="Normal 6 2 7 3 4" xfId="5913" xr:uid="{00000000-0005-0000-0000-0000C51F0000}"/>
    <cellStyle name="Normal 6 2 7 3 5" xfId="7359" xr:uid="{00000000-0005-0000-0000-0000C61F0000}"/>
    <cellStyle name="Normal 6 2 7 3 6" xfId="8800" xr:uid="{00000000-0005-0000-0000-0000C71F0000}"/>
    <cellStyle name="Normal 6 2 7 3 7" xfId="10233" xr:uid="{00000000-0005-0000-0000-0000C81F0000}"/>
    <cellStyle name="Normal 6 2 7 4" xfId="2038" xr:uid="{00000000-0005-0000-0000-0000C91F0000}"/>
    <cellStyle name="Normal 6 2 7 5" xfId="3495" xr:uid="{00000000-0005-0000-0000-0000CA1F0000}"/>
    <cellStyle name="Normal 6 2 7 6" xfId="4932" xr:uid="{00000000-0005-0000-0000-0000CB1F0000}"/>
    <cellStyle name="Normal 6 2 7 7" xfId="6378" xr:uid="{00000000-0005-0000-0000-0000CC1F0000}"/>
    <cellStyle name="Normal 6 2 7 8" xfId="7816" xr:uid="{00000000-0005-0000-0000-0000CD1F0000}"/>
    <cellStyle name="Normal 6 2 7 9" xfId="9253" xr:uid="{00000000-0005-0000-0000-0000CE1F0000}"/>
    <cellStyle name="Normal 6 2 8" xfId="677" xr:uid="{00000000-0005-0000-0000-0000CF1F0000}"/>
    <cellStyle name="Normal 6 2 8 2" xfId="2168" xr:uid="{00000000-0005-0000-0000-0000D01F0000}"/>
    <cellStyle name="Normal 6 2 8 3" xfId="3625" xr:uid="{00000000-0005-0000-0000-0000D11F0000}"/>
    <cellStyle name="Normal 6 2 8 4" xfId="5062" xr:uid="{00000000-0005-0000-0000-0000D21F0000}"/>
    <cellStyle name="Normal 6 2 8 5" xfId="6508" xr:uid="{00000000-0005-0000-0000-0000D31F0000}"/>
    <cellStyle name="Normal 6 2 8 6" xfId="7947" xr:uid="{00000000-0005-0000-0000-0000D41F0000}"/>
    <cellStyle name="Normal 6 2 8 7" xfId="9382" xr:uid="{00000000-0005-0000-0000-0000D51F0000}"/>
    <cellStyle name="Normal 6 2 9" xfId="1168" xr:uid="{00000000-0005-0000-0000-0000D61F0000}"/>
    <cellStyle name="Normal 6 2 9 2" xfId="2647" xr:uid="{00000000-0005-0000-0000-0000D71F0000}"/>
    <cellStyle name="Normal 6 2 9 3" xfId="4084" xr:uid="{00000000-0005-0000-0000-0000D81F0000}"/>
    <cellStyle name="Normal 6 2 9 4" xfId="5521" xr:uid="{00000000-0005-0000-0000-0000D91F0000}"/>
    <cellStyle name="Normal 6 2 9 5" xfId="6967" xr:uid="{00000000-0005-0000-0000-0000DA1F0000}"/>
    <cellStyle name="Normal 6 2 9 6" xfId="8408" xr:uid="{00000000-0005-0000-0000-0000DB1F0000}"/>
    <cellStyle name="Normal 6 2 9 7" xfId="9841" xr:uid="{00000000-0005-0000-0000-0000DC1F0000}"/>
    <cellStyle name="Normal 6 3" xfId="170" xr:uid="{00000000-0005-0000-0000-0000DD1F0000}"/>
    <cellStyle name="Normal 6 3 10" xfId="1725" xr:uid="{00000000-0005-0000-0000-0000DE1F0000}"/>
    <cellStyle name="Normal 6 3 11" xfId="3182" xr:uid="{00000000-0005-0000-0000-0000DF1F0000}"/>
    <cellStyle name="Normal 6 3 12" xfId="4619" xr:uid="{00000000-0005-0000-0000-0000E01F0000}"/>
    <cellStyle name="Normal 6 3 13" xfId="6065" xr:uid="{00000000-0005-0000-0000-0000E11F0000}"/>
    <cellStyle name="Normal 6 3 14" xfId="7503" xr:uid="{00000000-0005-0000-0000-0000E21F0000}"/>
    <cellStyle name="Normal 6 3 15" xfId="8943" xr:uid="{00000000-0005-0000-0000-0000E31F0000}"/>
    <cellStyle name="Normal 6 3 2" xfId="240" xr:uid="{00000000-0005-0000-0000-0000E41F0000}"/>
    <cellStyle name="Normal 6 3 2 10" xfId="3214" xr:uid="{00000000-0005-0000-0000-0000E51F0000}"/>
    <cellStyle name="Normal 6 3 2 11" xfId="4651" xr:uid="{00000000-0005-0000-0000-0000E61F0000}"/>
    <cellStyle name="Normal 6 3 2 12" xfId="6097" xr:uid="{00000000-0005-0000-0000-0000E71F0000}"/>
    <cellStyle name="Normal 6 3 2 13" xfId="7535" xr:uid="{00000000-0005-0000-0000-0000E81F0000}"/>
    <cellStyle name="Normal 6 3 2 14" xfId="8975" xr:uid="{00000000-0005-0000-0000-0000E91F0000}"/>
    <cellStyle name="Normal 6 3 2 2" xfId="308" xr:uid="{00000000-0005-0000-0000-0000EA1F0000}"/>
    <cellStyle name="Normal 6 3 2 2 10" xfId="7600" xr:uid="{00000000-0005-0000-0000-0000EB1F0000}"/>
    <cellStyle name="Normal 6 3 2 2 11" xfId="9039" xr:uid="{00000000-0005-0000-0000-0000EC1F0000}"/>
    <cellStyle name="Normal 6 3 2 2 2" xfId="446" xr:uid="{00000000-0005-0000-0000-0000ED1F0000}"/>
    <cellStyle name="Normal 6 3 2 2 2 2" xfId="928" xr:uid="{00000000-0005-0000-0000-0000EE1F0000}"/>
    <cellStyle name="Normal 6 3 2 2 2 2 2" xfId="2419" xr:uid="{00000000-0005-0000-0000-0000EF1F0000}"/>
    <cellStyle name="Normal 6 3 2 2 2 2 3" xfId="3866" xr:uid="{00000000-0005-0000-0000-0000F01F0000}"/>
    <cellStyle name="Normal 6 3 2 2 2 2 4" xfId="5303" xr:uid="{00000000-0005-0000-0000-0000F11F0000}"/>
    <cellStyle name="Normal 6 3 2 2 2 2 5" xfId="6749" xr:uid="{00000000-0005-0000-0000-0000F21F0000}"/>
    <cellStyle name="Normal 6 3 2 2 2 2 6" xfId="8189" xr:uid="{00000000-0005-0000-0000-0000F31F0000}"/>
    <cellStyle name="Normal 6 3 2 2 2 2 7" xfId="9623" xr:uid="{00000000-0005-0000-0000-0000F41F0000}"/>
    <cellStyle name="Normal 6 3 2 2 2 3" xfId="1480" xr:uid="{00000000-0005-0000-0000-0000F51F0000}"/>
    <cellStyle name="Normal 6 3 2 2 2 3 2" xfId="2953" xr:uid="{00000000-0005-0000-0000-0000F61F0000}"/>
    <cellStyle name="Normal 6 3 2 2 2 3 3" xfId="4390" xr:uid="{00000000-0005-0000-0000-0000F71F0000}"/>
    <cellStyle name="Normal 6 3 2 2 2 3 4" xfId="5827" xr:uid="{00000000-0005-0000-0000-0000F81F0000}"/>
    <cellStyle name="Normal 6 3 2 2 2 3 5" xfId="7273" xr:uid="{00000000-0005-0000-0000-0000F91F0000}"/>
    <cellStyle name="Normal 6 3 2 2 2 3 6" xfId="8714" xr:uid="{00000000-0005-0000-0000-0000FA1F0000}"/>
    <cellStyle name="Normal 6 3 2 2 2 3 7" xfId="10147" xr:uid="{00000000-0005-0000-0000-0000FB1F0000}"/>
    <cellStyle name="Normal 6 3 2 2 2 4" xfId="1952" xr:uid="{00000000-0005-0000-0000-0000FC1F0000}"/>
    <cellStyle name="Normal 6 3 2 2 2 5" xfId="3409" xr:uid="{00000000-0005-0000-0000-0000FD1F0000}"/>
    <cellStyle name="Normal 6 3 2 2 2 6" xfId="4846" xr:uid="{00000000-0005-0000-0000-0000FE1F0000}"/>
    <cellStyle name="Normal 6 3 2 2 2 7" xfId="6292" xr:uid="{00000000-0005-0000-0000-0000FF1F0000}"/>
    <cellStyle name="Normal 6 3 2 2 2 8" xfId="7730" xr:uid="{00000000-0005-0000-0000-000000200000}"/>
    <cellStyle name="Normal 6 3 2 2 2 9" xfId="9167" xr:uid="{00000000-0005-0000-0000-000001200000}"/>
    <cellStyle name="Normal 6 3 2 2 3" xfId="650" xr:uid="{00000000-0005-0000-0000-000002200000}"/>
    <cellStyle name="Normal 6 3 2 2 3 2" xfId="1129" xr:uid="{00000000-0005-0000-0000-000003200000}"/>
    <cellStyle name="Normal 6 3 2 2 3 2 2" xfId="2620" xr:uid="{00000000-0005-0000-0000-000004200000}"/>
    <cellStyle name="Normal 6 3 2 2 3 2 3" xfId="4063" xr:uid="{00000000-0005-0000-0000-000005200000}"/>
    <cellStyle name="Normal 6 3 2 2 3 2 4" xfId="5500" xr:uid="{00000000-0005-0000-0000-000006200000}"/>
    <cellStyle name="Normal 6 3 2 2 3 2 5" xfId="6946" xr:uid="{00000000-0005-0000-0000-000007200000}"/>
    <cellStyle name="Normal 6 3 2 2 3 2 6" xfId="8386" xr:uid="{00000000-0005-0000-0000-000008200000}"/>
    <cellStyle name="Normal 6 3 2 2 3 2 7" xfId="9820" xr:uid="{00000000-0005-0000-0000-000009200000}"/>
    <cellStyle name="Normal 6 3 2 2 3 3" xfId="1679" xr:uid="{00000000-0005-0000-0000-00000A200000}"/>
    <cellStyle name="Normal 6 3 2 2 3 3 2" xfId="3150" xr:uid="{00000000-0005-0000-0000-00000B200000}"/>
    <cellStyle name="Normal 6 3 2 2 3 3 3" xfId="4587" xr:uid="{00000000-0005-0000-0000-00000C200000}"/>
    <cellStyle name="Normal 6 3 2 2 3 3 4" xfId="6024" xr:uid="{00000000-0005-0000-0000-00000D200000}"/>
    <cellStyle name="Normal 6 3 2 2 3 3 5" xfId="7470" xr:uid="{00000000-0005-0000-0000-00000E200000}"/>
    <cellStyle name="Normal 6 3 2 2 3 3 6" xfId="8911" xr:uid="{00000000-0005-0000-0000-00000F200000}"/>
    <cellStyle name="Normal 6 3 2 2 3 3 7" xfId="10344" xr:uid="{00000000-0005-0000-0000-000010200000}"/>
    <cellStyle name="Normal 6 3 2 2 3 4" xfId="2149" xr:uid="{00000000-0005-0000-0000-000011200000}"/>
    <cellStyle name="Normal 6 3 2 2 3 5" xfId="3606" xr:uid="{00000000-0005-0000-0000-000012200000}"/>
    <cellStyle name="Normal 6 3 2 2 3 6" xfId="5043" xr:uid="{00000000-0005-0000-0000-000013200000}"/>
    <cellStyle name="Normal 6 3 2 2 3 7" xfId="6489" xr:uid="{00000000-0005-0000-0000-000014200000}"/>
    <cellStyle name="Normal 6 3 2 2 3 8" xfId="7928" xr:uid="{00000000-0005-0000-0000-000015200000}"/>
    <cellStyle name="Normal 6 3 2 2 3 9" xfId="9363" xr:uid="{00000000-0005-0000-0000-000016200000}"/>
    <cellStyle name="Normal 6 3 2 2 4" xfId="792" xr:uid="{00000000-0005-0000-0000-000017200000}"/>
    <cellStyle name="Normal 6 3 2 2 4 2" xfId="2283" xr:uid="{00000000-0005-0000-0000-000018200000}"/>
    <cellStyle name="Normal 6 3 2 2 4 3" xfId="3736" xr:uid="{00000000-0005-0000-0000-000019200000}"/>
    <cellStyle name="Normal 6 3 2 2 4 4" xfId="5173" xr:uid="{00000000-0005-0000-0000-00001A200000}"/>
    <cellStyle name="Normal 6 3 2 2 4 5" xfId="6619" xr:uid="{00000000-0005-0000-0000-00001B200000}"/>
    <cellStyle name="Normal 6 3 2 2 4 6" xfId="8059" xr:uid="{00000000-0005-0000-0000-00001C200000}"/>
    <cellStyle name="Normal 6 3 2 2 4 7" xfId="9493" xr:uid="{00000000-0005-0000-0000-00001D200000}"/>
    <cellStyle name="Normal 6 3 2 2 5" xfId="1348" xr:uid="{00000000-0005-0000-0000-00001E200000}"/>
    <cellStyle name="Normal 6 3 2 2 5 2" xfId="2823" xr:uid="{00000000-0005-0000-0000-00001F200000}"/>
    <cellStyle name="Normal 6 3 2 2 5 3" xfId="4260" xr:uid="{00000000-0005-0000-0000-000020200000}"/>
    <cellStyle name="Normal 6 3 2 2 5 4" xfId="5697" xr:uid="{00000000-0005-0000-0000-000021200000}"/>
    <cellStyle name="Normal 6 3 2 2 5 5" xfId="7143" xr:uid="{00000000-0005-0000-0000-000022200000}"/>
    <cellStyle name="Normal 6 3 2 2 5 6" xfId="8584" xr:uid="{00000000-0005-0000-0000-000023200000}"/>
    <cellStyle name="Normal 6 3 2 2 5 7" xfId="10017" xr:uid="{00000000-0005-0000-0000-000024200000}"/>
    <cellStyle name="Normal 6 3 2 2 6" xfId="1822" xr:uid="{00000000-0005-0000-0000-000025200000}"/>
    <cellStyle name="Normal 6 3 2 2 7" xfId="3279" xr:uid="{00000000-0005-0000-0000-000026200000}"/>
    <cellStyle name="Normal 6 3 2 2 8" xfId="4716" xr:uid="{00000000-0005-0000-0000-000027200000}"/>
    <cellStyle name="Normal 6 3 2 2 9" xfId="6162" xr:uid="{00000000-0005-0000-0000-000028200000}"/>
    <cellStyle name="Normal 6 3 2 3" xfId="377" xr:uid="{00000000-0005-0000-0000-000029200000}"/>
    <cellStyle name="Normal 6 3 2 3 2" xfId="859" xr:uid="{00000000-0005-0000-0000-00002A200000}"/>
    <cellStyle name="Normal 6 3 2 3 2 2" xfId="2350" xr:uid="{00000000-0005-0000-0000-00002B200000}"/>
    <cellStyle name="Normal 6 3 2 3 2 3" xfId="3801" xr:uid="{00000000-0005-0000-0000-00002C200000}"/>
    <cellStyle name="Normal 6 3 2 3 2 4" xfId="5238" xr:uid="{00000000-0005-0000-0000-00002D200000}"/>
    <cellStyle name="Normal 6 3 2 3 2 5" xfId="6684" xr:uid="{00000000-0005-0000-0000-00002E200000}"/>
    <cellStyle name="Normal 6 3 2 3 2 6" xfId="8124" xr:uid="{00000000-0005-0000-0000-00002F200000}"/>
    <cellStyle name="Normal 6 3 2 3 2 7" xfId="9558" xr:uid="{00000000-0005-0000-0000-000030200000}"/>
    <cellStyle name="Normal 6 3 2 3 3" xfId="1413" xr:uid="{00000000-0005-0000-0000-000031200000}"/>
    <cellStyle name="Normal 6 3 2 3 3 2" xfId="2888" xr:uid="{00000000-0005-0000-0000-000032200000}"/>
    <cellStyle name="Normal 6 3 2 3 3 3" xfId="4325" xr:uid="{00000000-0005-0000-0000-000033200000}"/>
    <cellStyle name="Normal 6 3 2 3 3 4" xfId="5762" xr:uid="{00000000-0005-0000-0000-000034200000}"/>
    <cellStyle name="Normal 6 3 2 3 3 5" xfId="7208" xr:uid="{00000000-0005-0000-0000-000035200000}"/>
    <cellStyle name="Normal 6 3 2 3 3 6" xfId="8649" xr:uid="{00000000-0005-0000-0000-000036200000}"/>
    <cellStyle name="Normal 6 3 2 3 3 7" xfId="10082" xr:uid="{00000000-0005-0000-0000-000037200000}"/>
    <cellStyle name="Normal 6 3 2 3 4" xfId="1887" xr:uid="{00000000-0005-0000-0000-000038200000}"/>
    <cellStyle name="Normal 6 3 2 3 5" xfId="3344" xr:uid="{00000000-0005-0000-0000-000039200000}"/>
    <cellStyle name="Normal 6 3 2 3 6" xfId="4781" xr:uid="{00000000-0005-0000-0000-00003A200000}"/>
    <cellStyle name="Normal 6 3 2 3 7" xfId="6227" xr:uid="{00000000-0005-0000-0000-00003B200000}"/>
    <cellStyle name="Normal 6 3 2 3 8" xfId="7665" xr:uid="{00000000-0005-0000-0000-00003C200000}"/>
    <cellStyle name="Normal 6 3 2 3 9" xfId="9102" xr:uid="{00000000-0005-0000-0000-00003D200000}"/>
    <cellStyle name="Normal 6 3 2 4" xfId="516" xr:uid="{00000000-0005-0000-0000-00003E200000}"/>
    <cellStyle name="Normal 6 3 2 4 2" xfId="995" xr:uid="{00000000-0005-0000-0000-00003F200000}"/>
    <cellStyle name="Normal 6 3 2 4 2 2" xfId="2486" xr:uid="{00000000-0005-0000-0000-000040200000}"/>
    <cellStyle name="Normal 6 3 2 4 2 3" xfId="3933" xr:uid="{00000000-0005-0000-0000-000041200000}"/>
    <cellStyle name="Normal 6 3 2 4 2 4" xfId="5370" xr:uid="{00000000-0005-0000-0000-000042200000}"/>
    <cellStyle name="Normal 6 3 2 4 2 5" xfId="6816" xr:uid="{00000000-0005-0000-0000-000043200000}"/>
    <cellStyle name="Normal 6 3 2 4 2 6" xfId="8256" xr:uid="{00000000-0005-0000-0000-000044200000}"/>
    <cellStyle name="Normal 6 3 2 4 2 7" xfId="9690" xr:uid="{00000000-0005-0000-0000-000045200000}"/>
    <cellStyle name="Normal 6 3 2 4 3" xfId="1547" xr:uid="{00000000-0005-0000-0000-000046200000}"/>
    <cellStyle name="Normal 6 3 2 4 3 2" xfId="3020" xr:uid="{00000000-0005-0000-0000-000047200000}"/>
    <cellStyle name="Normal 6 3 2 4 3 3" xfId="4457" xr:uid="{00000000-0005-0000-0000-000048200000}"/>
    <cellStyle name="Normal 6 3 2 4 3 4" xfId="5894" xr:uid="{00000000-0005-0000-0000-000049200000}"/>
    <cellStyle name="Normal 6 3 2 4 3 5" xfId="7340" xr:uid="{00000000-0005-0000-0000-00004A200000}"/>
    <cellStyle name="Normal 6 3 2 4 3 6" xfId="8781" xr:uid="{00000000-0005-0000-0000-00004B200000}"/>
    <cellStyle name="Normal 6 3 2 4 3 7" xfId="10214" xr:uid="{00000000-0005-0000-0000-00004C200000}"/>
    <cellStyle name="Normal 6 3 2 4 4" xfId="2019" xr:uid="{00000000-0005-0000-0000-00004D200000}"/>
    <cellStyle name="Normal 6 3 2 4 5" xfId="3476" xr:uid="{00000000-0005-0000-0000-00004E200000}"/>
    <cellStyle name="Normal 6 3 2 4 6" xfId="4913" xr:uid="{00000000-0005-0000-0000-00004F200000}"/>
    <cellStyle name="Normal 6 3 2 4 7" xfId="6359" xr:uid="{00000000-0005-0000-0000-000050200000}"/>
    <cellStyle name="Normal 6 3 2 4 8" xfId="7797" xr:uid="{00000000-0005-0000-0000-000051200000}"/>
    <cellStyle name="Normal 6 3 2 4 9" xfId="9234" xr:uid="{00000000-0005-0000-0000-000052200000}"/>
    <cellStyle name="Normal 6 3 2 5" xfId="581" xr:uid="{00000000-0005-0000-0000-000053200000}"/>
    <cellStyle name="Normal 6 3 2 5 2" xfId="1060" xr:uid="{00000000-0005-0000-0000-000054200000}"/>
    <cellStyle name="Normal 6 3 2 5 2 2" xfId="2551" xr:uid="{00000000-0005-0000-0000-000055200000}"/>
    <cellStyle name="Normal 6 3 2 5 2 3" xfId="3998" xr:uid="{00000000-0005-0000-0000-000056200000}"/>
    <cellStyle name="Normal 6 3 2 5 2 4" xfId="5435" xr:uid="{00000000-0005-0000-0000-000057200000}"/>
    <cellStyle name="Normal 6 3 2 5 2 5" xfId="6881" xr:uid="{00000000-0005-0000-0000-000058200000}"/>
    <cellStyle name="Normal 6 3 2 5 2 6" xfId="8321" xr:uid="{00000000-0005-0000-0000-000059200000}"/>
    <cellStyle name="Normal 6 3 2 5 2 7" xfId="9755" xr:uid="{00000000-0005-0000-0000-00005A200000}"/>
    <cellStyle name="Normal 6 3 2 5 3" xfId="1612" xr:uid="{00000000-0005-0000-0000-00005B200000}"/>
    <cellStyle name="Normal 6 3 2 5 3 2" xfId="3085" xr:uid="{00000000-0005-0000-0000-00005C200000}"/>
    <cellStyle name="Normal 6 3 2 5 3 3" xfId="4522" xr:uid="{00000000-0005-0000-0000-00005D200000}"/>
    <cellStyle name="Normal 6 3 2 5 3 4" xfId="5959" xr:uid="{00000000-0005-0000-0000-00005E200000}"/>
    <cellStyle name="Normal 6 3 2 5 3 5" xfId="7405" xr:uid="{00000000-0005-0000-0000-00005F200000}"/>
    <cellStyle name="Normal 6 3 2 5 3 6" xfId="8846" xr:uid="{00000000-0005-0000-0000-000060200000}"/>
    <cellStyle name="Normal 6 3 2 5 3 7" xfId="10279" xr:uid="{00000000-0005-0000-0000-000061200000}"/>
    <cellStyle name="Normal 6 3 2 5 4" xfId="2084" xr:uid="{00000000-0005-0000-0000-000062200000}"/>
    <cellStyle name="Normal 6 3 2 5 5" xfId="3541" xr:uid="{00000000-0005-0000-0000-000063200000}"/>
    <cellStyle name="Normal 6 3 2 5 6" xfId="4978" xr:uid="{00000000-0005-0000-0000-000064200000}"/>
    <cellStyle name="Normal 6 3 2 5 7" xfId="6424" xr:uid="{00000000-0005-0000-0000-000065200000}"/>
    <cellStyle name="Normal 6 3 2 5 8" xfId="7862" xr:uid="{00000000-0005-0000-0000-000066200000}"/>
    <cellStyle name="Normal 6 3 2 5 9" xfId="9298" xr:uid="{00000000-0005-0000-0000-000067200000}"/>
    <cellStyle name="Normal 6 3 2 6" xfId="723" xr:uid="{00000000-0005-0000-0000-000068200000}"/>
    <cellStyle name="Normal 6 3 2 6 2" xfId="2214" xr:uid="{00000000-0005-0000-0000-000069200000}"/>
    <cellStyle name="Normal 6 3 2 6 3" xfId="3671" xr:uid="{00000000-0005-0000-0000-00006A200000}"/>
    <cellStyle name="Normal 6 3 2 6 4" xfId="5108" xr:uid="{00000000-0005-0000-0000-00006B200000}"/>
    <cellStyle name="Normal 6 3 2 6 5" xfId="6554" xr:uid="{00000000-0005-0000-0000-00006C200000}"/>
    <cellStyle name="Normal 6 3 2 6 6" xfId="7993" xr:uid="{00000000-0005-0000-0000-00006D200000}"/>
    <cellStyle name="Normal 6 3 2 6 7" xfId="9428" xr:uid="{00000000-0005-0000-0000-00006E200000}"/>
    <cellStyle name="Normal 6 3 2 7" xfId="1214" xr:uid="{00000000-0005-0000-0000-00006F200000}"/>
    <cellStyle name="Normal 6 3 2 7 2" xfId="2693" xr:uid="{00000000-0005-0000-0000-000070200000}"/>
    <cellStyle name="Normal 6 3 2 7 3" xfId="4130" xr:uid="{00000000-0005-0000-0000-000071200000}"/>
    <cellStyle name="Normal 6 3 2 7 4" xfId="5567" xr:uid="{00000000-0005-0000-0000-000072200000}"/>
    <cellStyle name="Normal 6 3 2 7 5" xfId="7013" xr:uid="{00000000-0005-0000-0000-000073200000}"/>
    <cellStyle name="Normal 6 3 2 7 6" xfId="8454" xr:uid="{00000000-0005-0000-0000-000074200000}"/>
    <cellStyle name="Normal 6 3 2 7 7" xfId="9887" xr:uid="{00000000-0005-0000-0000-000075200000}"/>
    <cellStyle name="Normal 6 3 2 8" xfId="1279" xr:uid="{00000000-0005-0000-0000-000076200000}"/>
    <cellStyle name="Normal 6 3 2 8 2" xfId="2758" xr:uid="{00000000-0005-0000-0000-000077200000}"/>
    <cellStyle name="Normal 6 3 2 8 3" xfId="4195" xr:uid="{00000000-0005-0000-0000-000078200000}"/>
    <cellStyle name="Normal 6 3 2 8 4" xfId="5632" xr:uid="{00000000-0005-0000-0000-000079200000}"/>
    <cellStyle name="Normal 6 3 2 8 5" xfId="7078" xr:uid="{00000000-0005-0000-0000-00007A200000}"/>
    <cellStyle name="Normal 6 3 2 8 6" xfId="8519" xr:uid="{00000000-0005-0000-0000-00007B200000}"/>
    <cellStyle name="Normal 6 3 2 8 7" xfId="9952" xr:uid="{00000000-0005-0000-0000-00007C200000}"/>
    <cellStyle name="Normal 6 3 2 9" xfId="1757" xr:uid="{00000000-0005-0000-0000-00007D200000}"/>
    <cellStyle name="Normal 6 3 3" xfId="276" xr:uid="{00000000-0005-0000-0000-00007E200000}"/>
    <cellStyle name="Normal 6 3 3 10" xfId="7568" xr:uid="{00000000-0005-0000-0000-00007F200000}"/>
    <cellStyle name="Normal 6 3 3 11" xfId="9007" xr:uid="{00000000-0005-0000-0000-000080200000}"/>
    <cellStyle name="Normal 6 3 3 2" xfId="414" xr:uid="{00000000-0005-0000-0000-000081200000}"/>
    <cellStyle name="Normal 6 3 3 2 2" xfId="896" xr:uid="{00000000-0005-0000-0000-000082200000}"/>
    <cellStyle name="Normal 6 3 3 2 2 2" xfId="2387" xr:uid="{00000000-0005-0000-0000-000083200000}"/>
    <cellStyle name="Normal 6 3 3 2 2 3" xfId="3834" xr:uid="{00000000-0005-0000-0000-000084200000}"/>
    <cellStyle name="Normal 6 3 3 2 2 4" xfId="5271" xr:uid="{00000000-0005-0000-0000-000085200000}"/>
    <cellStyle name="Normal 6 3 3 2 2 5" xfId="6717" xr:uid="{00000000-0005-0000-0000-000086200000}"/>
    <cellStyle name="Normal 6 3 3 2 2 6" xfId="8157" xr:uid="{00000000-0005-0000-0000-000087200000}"/>
    <cellStyle name="Normal 6 3 3 2 2 7" xfId="9591" xr:uid="{00000000-0005-0000-0000-000088200000}"/>
    <cellStyle name="Normal 6 3 3 2 3" xfId="1448" xr:uid="{00000000-0005-0000-0000-000089200000}"/>
    <cellStyle name="Normal 6 3 3 2 3 2" xfId="2921" xr:uid="{00000000-0005-0000-0000-00008A200000}"/>
    <cellStyle name="Normal 6 3 3 2 3 3" xfId="4358" xr:uid="{00000000-0005-0000-0000-00008B200000}"/>
    <cellStyle name="Normal 6 3 3 2 3 4" xfId="5795" xr:uid="{00000000-0005-0000-0000-00008C200000}"/>
    <cellStyle name="Normal 6 3 3 2 3 5" xfId="7241" xr:uid="{00000000-0005-0000-0000-00008D200000}"/>
    <cellStyle name="Normal 6 3 3 2 3 6" xfId="8682" xr:uid="{00000000-0005-0000-0000-00008E200000}"/>
    <cellStyle name="Normal 6 3 3 2 3 7" xfId="10115" xr:uid="{00000000-0005-0000-0000-00008F200000}"/>
    <cellStyle name="Normal 6 3 3 2 4" xfId="1920" xr:uid="{00000000-0005-0000-0000-000090200000}"/>
    <cellStyle name="Normal 6 3 3 2 5" xfId="3377" xr:uid="{00000000-0005-0000-0000-000091200000}"/>
    <cellStyle name="Normal 6 3 3 2 6" xfId="4814" xr:uid="{00000000-0005-0000-0000-000092200000}"/>
    <cellStyle name="Normal 6 3 3 2 7" xfId="6260" xr:uid="{00000000-0005-0000-0000-000093200000}"/>
    <cellStyle name="Normal 6 3 3 2 8" xfId="7698" xr:uid="{00000000-0005-0000-0000-000094200000}"/>
    <cellStyle name="Normal 6 3 3 2 9" xfId="9135" xr:uid="{00000000-0005-0000-0000-000095200000}"/>
    <cellStyle name="Normal 6 3 3 3" xfId="618" xr:uid="{00000000-0005-0000-0000-000096200000}"/>
    <cellStyle name="Normal 6 3 3 3 2" xfId="1097" xr:uid="{00000000-0005-0000-0000-000097200000}"/>
    <cellStyle name="Normal 6 3 3 3 2 2" xfId="2588" xr:uid="{00000000-0005-0000-0000-000098200000}"/>
    <cellStyle name="Normal 6 3 3 3 2 3" xfId="4031" xr:uid="{00000000-0005-0000-0000-000099200000}"/>
    <cellStyle name="Normal 6 3 3 3 2 4" xfId="5468" xr:uid="{00000000-0005-0000-0000-00009A200000}"/>
    <cellStyle name="Normal 6 3 3 3 2 5" xfId="6914" xr:uid="{00000000-0005-0000-0000-00009B200000}"/>
    <cellStyle name="Normal 6 3 3 3 2 6" xfId="8354" xr:uid="{00000000-0005-0000-0000-00009C200000}"/>
    <cellStyle name="Normal 6 3 3 3 2 7" xfId="9788" xr:uid="{00000000-0005-0000-0000-00009D200000}"/>
    <cellStyle name="Normal 6 3 3 3 3" xfId="1647" xr:uid="{00000000-0005-0000-0000-00009E200000}"/>
    <cellStyle name="Normal 6 3 3 3 3 2" xfId="3118" xr:uid="{00000000-0005-0000-0000-00009F200000}"/>
    <cellStyle name="Normal 6 3 3 3 3 3" xfId="4555" xr:uid="{00000000-0005-0000-0000-0000A0200000}"/>
    <cellStyle name="Normal 6 3 3 3 3 4" xfId="5992" xr:uid="{00000000-0005-0000-0000-0000A1200000}"/>
    <cellStyle name="Normal 6 3 3 3 3 5" xfId="7438" xr:uid="{00000000-0005-0000-0000-0000A2200000}"/>
    <cellStyle name="Normal 6 3 3 3 3 6" xfId="8879" xr:uid="{00000000-0005-0000-0000-0000A3200000}"/>
    <cellStyle name="Normal 6 3 3 3 3 7" xfId="10312" xr:uid="{00000000-0005-0000-0000-0000A4200000}"/>
    <cellStyle name="Normal 6 3 3 3 4" xfId="2117" xr:uid="{00000000-0005-0000-0000-0000A5200000}"/>
    <cellStyle name="Normal 6 3 3 3 5" xfId="3574" xr:uid="{00000000-0005-0000-0000-0000A6200000}"/>
    <cellStyle name="Normal 6 3 3 3 6" xfId="5011" xr:uid="{00000000-0005-0000-0000-0000A7200000}"/>
    <cellStyle name="Normal 6 3 3 3 7" xfId="6457" xr:uid="{00000000-0005-0000-0000-0000A8200000}"/>
    <cellStyle name="Normal 6 3 3 3 8" xfId="7896" xr:uid="{00000000-0005-0000-0000-0000A9200000}"/>
    <cellStyle name="Normal 6 3 3 3 9" xfId="9331" xr:uid="{00000000-0005-0000-0000-0000AA200000}"/>
    <cellStyle name="Normal 6 3 3 4" xfId="760" xr:uid="{00000000-0005-0000-0000-0000AB200000}"/>
    <cellStyle name="Normal 6 3 3 4 2" xfId="2251" xr:uid="{00000000-0005-0000-0000-0000AC200000}"/>
    <cellStyle name="Normal 6 3 3 4 3" xfId="3704" xr:uid="{00000000-0005-0000-0000-0000AD200000}"/>
    <cellStyle name="Normal 6 3 3 4 4" xfId="5141" xr:uid="{00000000-0005-0000-0000-0000AE200000}"/>
    <cellStyle name="Normal 6 3 3 4 5" xfId="6587" xr:uid="{00000000-0005-0000-0000-0000AF200000}"/>
    <cellStyle name="Normal 6 3 3 4 6" xfId="8027" xr:uid="{00000000-0005-0000-0000-0000B0200000}"/>
    <cellStyle name="Normal 6 3 3 4 7" xfId="9461" xr:uid="{00000000-0005-0000-0000-0000B1200000}"/>
    <cellStyle name="Normal 6 3 3 5" xfId="1316" xr:uid="{00000000-0005-0000-0000-0000B2200000}"/>
    <cellStyle name="Normal 6 3 3 5 2" xfId="2791" xr:uid="{00000000-0005-0000-0000-0000B3200000}"/>
    <cellStyle name="Normal 6 3 3 5 3" xfId="4228" xr:uid="{00000000-0005-0000-0000-0000B4200000}"/>
    <cellStyle name="Normal 6 3 3 5 4" xfId="5665" xr:uid="{00000000-0005-0000-0000-0000B5200000}"/>
    <cellStyle name="Normal 6 3 3 5 5" xfId="7111" xr:uid="{00000000-0005-0000-0000-0000B6200000}"/>
    <cellStyle name="Normal 6 3 3 5 6" xfId="8552" xr:uid="{00000000-0005-0000-0000-0000B7200000}"/>
    <cellStyle name="Normal 6 3 3 5 7" xfId="9985" xr:uid="{00000000-0005-0000-0000-0000B8200000}"/>
    <cellStyle name="Normal 6 3 3 6" xfId="1790" xr:uid="{00000000-0005-0000-0000-0000B9200000}"/>
    <cellStyle name="Normal 6 3 3 7" xfId="3247" xr:uid="{00000000-0005-0000-0000-0000BA200000}"/>
    <cellStyle name="Normal 6 3 3 8" xfId="4684" xr:uid="{00000000-0005-0000-0000-0000BB200000}"/>
    <cellStyle name="Normal 6 3 3 9" xfId="6130" xr:uid="{00000000-0005-0000-0000-0000BC200000}"/>
    <cellStyle name="Normal 6 3 4" xfId="345" xr:uid="{00000000-0005-0000-0000-0000BD200000}"/>
    <cellStyle name="Normal 6 3 4 2" xfId="827" xr:uid="{00000000-0005-0000-0000-0000BE200000}"/>
    <cellStyle name="Normal 6 3 4 2 2" xfId="2318" xr:uid="{00000000-0005-0000-0000-0000BF200000}"/>
    <cellStyle name="Normal 6 3 4 2 3" xfId="3769" xr:uid="{00000000-0005-0000-0000-0000C0200000}"/>
    <cellStyle name="Normal 6 3 4 2 4" xfId="5206" xr:uid="{00000000-0005-0000-0000-0000C1200000}"/>
    <cellStyle name="Normal 6 3 4 2 5" xfId="6652" xr:uid="{00000000-0005-0000-0000-0000C2200000}"/>
    <cellStyle name="Normal 6 3 4 2 6" xfId="8092" xr:uid="{00000000-0005-0000-0000-0000C3200000}"/>
    <cellStyle name="Normal 6 3 4 2 7" xfId="9526" xr:uid="{00000000-0005-0000-0000-0000C4200000}"/>
    <cellStyle name="Normal 6 3 4 3" xfId="1381" xr:uid="{00000000-0005-0000-0000-0000C5200000}"/>
    <cellStyle name="Normal 6 3 4 3 2" xfId="2856" xr:uid="{00000000-0005-0000-0000-0000C6200000}"/>
    <cellStyle name="Normal 6 3 4 3 3" xfId="4293" xr:uid="{00000000-0005-0000-0000-0000C7200000}"/>
    <cellStyle name="Normal 6 3 4 3 4" xfId="5730" xr:uid="{00000000-0005-0000-0000-0000C8200000}"/>
    <cellStyle name="Normal 6 3 4 3 5" xfId="7176" xr:uid="{00000000-0005-0000-0000-0000C9200000}"/>
    <cellStyle name="Normal 6 3 4 3 6" xfId="8617" xr:uid="{00000000-0005-0000-0000-0000CA200000}"/>
    <cellStyle name="Normal 6 3 4 3 7" xfId="10050" xr:uid="{00000000-0005-0000-0000-0000CB200000}"/>
    <cellStyle name="Normal 6 3 4 4" xfId="1855" xr:uid="{00000000-0005-0000-0000-0000CC200000}"/>
    <cellStyle name="Normal 6 3 4 5" xfId="3312" xr:uid="{00000000-0005-0000-0000-0000CD200000}"/>
    <cellStyle name="Normal 6 3 4 6" xfId="4749" xr:uid="{00000000-0005-0000-0000-0000CE200000}"/>
    <cellStyle name="Normal 6 3 4 7" xfId="6195" xr:uid="{00000000-0005-0000-0000-0000CF200000}"/>
    <cellStyle name="Normal 6 3 4 8" xfId="7633" xr:uid="{00000000-0005-0000-0000-0000D0200000}"/>
    <cellStyle name="Normal 6 3 4 9" xfId="9070" xr:uid="{00000000-0005-0000-0000-0000D1200000}"/>
    <cellStyle name="Normal 6 3 5" xfId="484" xr:uid="{00000000-0005-0000-0000-0000D2200000}"/>
    <cellStyle name="Normal 6 3 5 2" xfId="963" xr:uid="{00000000-0005-0000-0000-0000D3200000}"/>
    <cellStyle name="Normal 6 3 5 2 2" xfId="2454" xr:uid="{00000000-0005-0000-0000-0000D4200000}"/>
    <cellStyle name="Normal 6 3 5 2 3" xfId="3901" xr:uid="{00000000-0005-0000-0000-0000D5200000}"/>
    <cellStyle name="Normal 6 3 5 2 4" xfId="5338" xr:uid="{00000000-0005-0000-0000-0000D6200000}"/>
    <cellStyle name="Normal 6 3 5 2 5" xfId="6784" xr:uid="{00000000-0005-0000-0000-0000D7200000}"/>
    <cellStyle name="Normal 6 3 5 2 6" xfId="8224" xr:uid="{00000000-0005-0000-0000-0000D8200000}"/>
    <cellStyle name="Normal 6 3 5 2 7" xfId="9658" xr:uid="{00000000-0005-0000-0000-0000D9200000}"/>
    <cellStyle name="Normal 6 3 5 3" xfId="1515" xr:uid="{00000000-0005-0000-0000-0000DA200000}"/>
    <cellStyle name="Normal 6 3 5 3 2" xfId="2988" xr:uid="{00000000-0005-0000-0000-0000DB200000}"/>
    <cellStyle name="Normal 6 3 5 3 3" xfId="4425" xr:uid="{00000000-0005-0000-0000-0000DC200000}"/>
    <cellStyle name="Normal 6 3 5 3 4" xfId="5862" xr:uid="{00000000-0005-0000-0000-0000DD200000}"/>
    <cellStyle name="Normal 6 3 5 3 5" xfId="7308" xr:uid="{00000000-0005-0000-0000-0000DE200000}"/>
    <cellStyle name="Normal 6 3 5 3 6" xfId="8749" xr:uid="{00000000-0005-0000-0000-0000DF200000}"/>
    <cellStyle name="Normal 6 3 5 3 7" xfId="10182" xr:uid="{00000000-0005-0000-0000-0000E0200000}"/>
    <cellStyle name="Normal 6 3 5 4" xfId="1987" xr:uid="{00000000-0005-0000-0000-0000E1200000}"/>
    <cellStyle name="Normal 6 3 5 5" xfId="3444" xr:uid="{00000000-0005-0000-0000-0000E2200000}"/>
    <cellStyle name="Normal 6 3 5 6" xfId="4881" xr:uid="{00000000-0005-0000-0000-0000E3200000}"/>
    <cellStyle name="Normal 6 3 5 7" xfId="6327" xr:uid="{00000000-0005-0000-0000-0000E4200000}"/>
    <cellStyle name="Normal 6 3 5 8" xfId="7765" xr:uid="{00000000-0005-0000-0000-0000E5200000}"/>
    <cellStyle name="Normal 6 3 5 9" xfId="9202" xr:uid="{00000000-0005-0000-0000-0000E6200000}"/>
    <cellStyle name="Normal 6 3 6" xfId="549" xr:uid="{00000000-0005-0000-0000-0000E7200000}"/>
    <cellStyle name="Normal 6 3 6 2" xfId="1028" xr:uid="{00000000-0005-0000-0000-0000E8200000}"/>
    <cellStyle name="Normal 6 3 6 2 2" xfId="2519" xr:uid="{00000000-0005-0000-0000-0000E9200000}"/>
    <cellStyle name="Normal 6 3 6 2 3" xfId="3966" xr:uid="{00000000-0005-0000-0000-0000EA200000}"/>
    <cellStyle name="Normal 6 3 6 2 4" xfId="5403" xr:uid="{00000000-0005-0000-0000-0000EB200000}"/>
    <cellStyle name="Normal 6 3 6 2 5" xfId="6849" xr:uid="{00000000-0005-0000-0000-0000EC200000}"/>
    <cellStyle name="Normal 6 3 6 2 6" xfId="8289" xr:uid="{00000000-0005-0000-0000-0000ED200000}"/>
    <cellStyle name="Normal 6 3 6 2 7" xfId="9723" xr:uid="{00000000-0005-0000-0000-0000EE200000}"/>
    <cellStyle name="Normal 6 3 6 3" xfId="1580" xr:uid="{00000000-0005-0000-0000-0000EF200000}"/>
    <cellStyle name="Normal 6 3 6 3 2" xfId="3053" xr:uid="{00000000-0005-0000-0000-0000F0200000}"/>
    <cellStyle name="Normal 6 3 6 3 3" xfId="4490" xr:uid="{00000000-0005-0000-0000-0000F1200000}"/>
    <cellStyle name="Normal 6 3 6 3 4" xfId="5927" xr:uid="{00000000-0005-0000-0000-0000F2200000}"/>
    <cellStyle name="Normal 6 3 6 3 5" xfId="7373" xr:uid="{00000000-0005-0000-0000-0000F3200000}"/>
    <cellStyle name="Normal 6 3 6 3 6" xfId="8814" xr:uid="{00000000-0005-0000-0000-0000F4200000}"/>
    <cellStyle name="Normal 6 3 6 3 7" xfId="10247" xr:uid="{00000000-0005-0000-0000-0000F5200000}"/>
    <cellStyle name="Normal 6 3 6 4" xfId="2052" xr:uid="{00000000-0005-0000-0000-0000F6200000}"/>
    <cellStyle name="Normal 6 3 6 5" xfId="3509" xr:uid="{00000000-0005-0000-0000-0000F7200000}"/>
    <cellStyle name="Normal 6 3 6 6" xfId="4946" xr:uid="{00000000-0005-0000-0000-0000F8200000}"/>
    <cellStyle name="Normal 6 3 6 7" xfId="6392" xr:uid="{00000000-0005-0000-0000-0000F9200000}"/>
    <cellStyle name="Normal 6 3 6 8" xfId="7830" xr:uid="{00000000-0005-0000-0000-0000FA200000}"/>
    <cellStyle name="Normal 6 3 6 9" xfId="9266" xr:uid="{00000000-0005-0000-0000-0000FB200000}"/>
    <cellStyle name="Normal 6 3 7" xfId="691" xr:uid="{00000000-0005-0000-0000-0000FC200000}"/>
    <cellStyle name="Normal 6 3 7 2" xfId="2182" xr:uid="{00000000-0005-0000-0000-0000FD200000}"/>
    <cellStyle name="Normal 6 3 7 3" xfId="3639" xr:uid="{00000000-0005-0000-0000-0000FE200000}"/>
    <cellStyle name="Normal 6 3 7 4" xfId="5076" xr:uid="{00000000-0005-0000-0000-0000FF200000}"/>
    <cellStyle name="Normal 6 3 7 5" xfId="6522" xr:uid="{00000000-0005-0000-0000-000000210000}"/>
    <cellStyle name="Normal 6 3 7 6" xfId="7961" xr:uid="{00000000-0005-0000-0000-000001210000}"/>
    <cellStyle name="Normal 6 3 7 7" xfId="9396" xr:uid="{00000000-0005-0000-0000-000002210000}"/>
    <cellStyle name="Normal 6 3 8" xfId="1182" xr:uid="{00000000-0005-0000-0000-000003210000}"/>
    <cellStyle name="Normal 6 3 8 2" xfId="2661" xr:uid="{00000000-0005-0000-0000-000004210000}"/>
    <cellStyle name="Normal 6 3 8 3" xfId="4098" xr:uid="{00000000-0005-0000-0000-000005210000}"/>
    <cellStyle name="Normal 6 3 8 4" xfId="5535" xr:uid="{00000000-0005-0000-0000-000006210000}"/>
    <cellStyle name="Normal 6 3 8 5" xfId="6981" xr:uid="{00000000-0005-0000-0000-000007210000}"/>
    <cellStyle name="Normal 6 3 8 6" xfId="8422" xr:uid="{00000000-0005-0000-0000-000008210000}"/>
    <cellStyle name="Normal 6 3 8 7" xfId="9855" xr:uid="{00000000-0005-0000-0000-000009210000}"/>
    <cellStyle name="Normal 6 3 9" xfId="1247" xr:uid="{00000000-0005-0000-0000-00000A210000}"/>
    <cellStyle name="Normal 6 3 9 2" xfId="2726" xr:uid="{00000000-0005-0000-0000-00000B210000}"/>
    <cellStyle name="Normal 6 3 9 3" xfId="4163" xr:uid="{00000000-0005-0000-0000-00000C210000}"/>
    <cellStyle name="Normal 6 3 9 4" xfId="5600" xr:uid="{00000000-0005-0000-0000-00000D210000}"/>
    <cellStyle name="Normal 6 3 9 5" xfId="7046" xr:uid="{00000000-0005-0000-0000-00000E210000}"/>
    <cellStyle name="Normal 6 3 9 6" xfId="8487" xr:uid="{00000000-0005-0000-0000-00000F210000}"/>
    <cellStyle name="Normal 6 3 9 7" xfId="9920" xr:uid="{00000000-0005-0000-0000-000010210000}"/>
    <cellStyle name="Normal 6 4" xfId="219" xr:uid="{00000000-0005-0000-0000-000011210000}"/>
    <cellStyle name="Normal 6 4 10" xfId="3194" xr:uid="{00000000-0005-0000-0000-000012210000}"/>
    <cellStyle name="Normal 6 4 11" xfId="4631" xr:uid="{00000000-0005-0000-0000-000013210000}"/>
    <cellStyle name="Normal 6 4 12" xfId="6077" xr:uid="{00000000-0005-0000-0000-000014210000}"/>
    <cellStyle name="Normal 6 4 13" xfId="7515" xr:uid="{00000000-0005-0000-0000-000015210000}"/>
    <cellStyle name="Normal 6 4 14" xfId="8955" xr:uid="{00000000-0005-0000-0000-000016210000}"/>
    <cellStyle name="Normal 6 4 2" xfId="288" xr:uid="{00000000-0005-0000-0000-000017210000}"/>
    <cellStyle name="Normal 6 4 2 10" xfId="7580" xr:uid="{00000000-0005-0000-0000-000018210000}"/>
    <cellStyle name="Normal 6 4 2 11" xfId="9019" xr:uid="{00000000-0005-0000-0000-000019210000}"/>
    <cellStyle name="Normal 6 4 2 2" xfId="426" xr:uid="{00000000-0005-0000-0000-00001A210000}"/>
    <cellStyle name="Normal 6 4 2 2 2" xfId="908" xr:uid="{00000000-0005-0000-0000-00001B210000}"/>
    <cellStyle name="Normal 6 4 2 2 2 2" xfId="2399" xr:uid="{00000000-0005-0000-0000-00001C210000}"/>
    <cellStyle name="Normal 6 4 2 2 2 3" xfId="3846" xr:uid="{00000000-0005-0000-0000-00001D210000}"/>
    <cellStyle name="Normal 6 4 2 2 2 4" xfId="5283" xr:uid="{00000000-0005-0000-0000-00001E210000}"/>
    <cellStyle name="Normal 6 4 2 2 2 5" xfId="6729" xr:uid="{00000000-0005-0000-0000-00001F210000}"/>
    <cellStyle name="Normal 6 4 2 2 2 6" xfId="8169" xr:uid="{00000000-0005-0000-0000-000020210000}"/>
    <cellStyle name="Normal 6 4 2 2 2 7" xfId="9603" xr:uid="{00000000-0005-0000-0000-000021210000}"/>
    <cellStyle name="Normal 6 4 2 2 3" xfId="1460" xr:uid="{00000000-0005-0000-0000-000022210000}"/>
    <cellStyle name="Normal 6 4 2 2 3 2" xfId="2933" xr:uid="{00000000-0005-0000-0000-000023210000}"/>
    <cellStyle name="Normal 6 4 2 2 3 3" xfId="4370" xr:uid="{00000000-0005-0000-0000-000024210000}"/>
    <cellStyle name="Normal 6 4 2 2 3 4" xfId="5807" xr:uid="{00000000-0005-0000-0000-000025210000}"/>
    <cellStyle name="Normal 6 4 2 2 3 5" xfId="7253" xr:uid="{00000000-0005-0000-0000-000026210000}"/>
    <cellStyle name="Normal 6 4 2 2 3 6" xfId="8694" xr:uid="{00000000-0005-0000-0000-000027210000}"/>
    <cellStyle name="Normal 6 4 2 2 3 7" xfId="10127" xr:uid="{00000000-0005-0000-0000-000028210000}"/>
    <cellStyle name="Normal 6 4 2 2 4" xfId="1932" xr:uid="{00000000-0005-0000-0000-000029210000}"/>
    <cellStyle name="Normal 6 4 2 2 5" xfId="3389" xr:uid="{00000000-0005-0000-0000-00002A210000}"/>
    <cellStyle name="Normal 6 4 2 2 6" xfId="4826" xr:uid="{00000000-0005-0000-0000-00002B210000}"/>
    <cellStyle name="Normal 6 4 2 2 7" xfId="6272" xr:uid="{00000000-0005-0000-0000-00002C210000}"/>
    <cellStyle name="Normal 6 4 2 2 8" xfId="7710" xr:uid="{00000000-0005-0000-0000-00002D210000}"/>
    <cellStyle name="Normal 6 4 2 2 9" xfId="9147" xr:uid="{00000000-0005-0000-0000-00002E210000}"/>
    <cellStyle name="Normal 6 4 2 3" xfId="630" xr:uid="{00000000-0005-0000-0000-00002F210000}"/>
    <cellStyle name="Normal 6 4 2 3 2" xfId="1109" xr:uid="{00000000-0005-0000-0000-000030210000}"/>
    <cellStyle name="Normal 6 4 2 3 2 2" xfId="2600" xr:uid="{00000000-0005-0000-0000-000031210000}"/>
    <cellStyle name="Normal 6 4 2 3 2 3" xfId="4043" xr:uid="{00000000-0005-0000-0000-000032210000}"/>
    <cellStyle name="Normal 6 4 2 3 2 4" xfId="5480" xr:uid="{00000000-0005-0000-0000-000033210000}"/>
    <cellStyle name="Normal 6 4 2 3 2 5" xfId="6926" xr:uid="{00000000-0005-0000-0000-000034210000}"/>
    <cellStyle name="Normal 6 4 2 3 2 6" xfId="8366" xr:uid="{00000000-0005-0000-0000-000035210000}"/>
    <cellStyle name="Normal 6 4 2 3 2 7" xfId="9800" xr:uid="{00000000-0005-0000-0000-000036210000}"/>
    <cellStyle name="Normal 6 4 2 3 3" xfId="1659" xr:uid="{00000000-0005-0000-0000-000037210000}"/>
    <cellStyle name="Normal 6 4 2 3 3 2" xfId="3130" xr:uid="{00000000-0005-0000-0000-000038210000}"/>
    <cellStyle name="Normal 6 4 2 3 3 3" xfId="4567" xr:uid="{00000000-0005-0000-0000-000039210000}"/>
    <cellStyle name="Normal 6 4 2 3 3 4" xfId="6004" xr:uid="{00000000-0005-0000-0000-00003A210000}"/>
    <cellStyle name="Normal 6 4 2 3 3 5" xfId="7450" xr:uid="{00000000-0005-0000-0000-00003B210000}"/>
    <cellStyle name="Normal 6 4 2 3 3 6" xfId="8891" xr:uid="{00000000-0005-0000-0000-00003C210000}"/>
    <cellStyle name="Normal 6 4 2 3 3 7" xfId="10324" xr:uid="{00000000-0005-0000-0000-00003D210000}"/>
    <cellStyle name="Normal 6 4 2 3 4" xfId="2129" xr:uid="{00000000-0005-0000-0000-00003E210000}"/>
    <cellStyle name="Normal 6 4 2 3 5" xfId="3586" xr:uid="{00000000-0005-0000-0000-00003F210000}"/>
    <cellStyle name="Normal 6 4 2 3 6" xfId="5023" xr:uid="{00000000-0005-0000-0000-000040210000}"/>
    <cellStyle name="Normal 6 4 2 3 7" xfId="6469" xr:uid="{00000000-0005-0000-0000-000041210000}"/>
    <cellStyle name="Normal 6 4 2 3 8" xfId="7908" xr:uid="{00000000-0005-0000-0000-000042210000}"/>
    <cellStyle name="Normal 6 4 2 3 9" xfId="9343" xr:uid="{00000000-0005-0000-0000-000043210000}"/>
    <cellStyle name="Normal 6 4 2 4" xfId="772" xr:uid="{00000000-0005-0000-0000-000044210000}"/>
    <cellStyle name="Normal 6 4 2 4 2" xfId="2263" xr:uid="{00000000-0005-0000-0000-000045210000}"/>
    <cellStyle name="Normal 6 4 2 4 3" xfId="3716" xr:uid="{00000000-0005-0000-0000-000046210000}"/>
    <cellStyle name="Normal 6 4 2 4 4" xfId="5153" xr:uid="{00000000-0005-0000-0000-000047210000}"/>
    <cellStyle name="Normal 6 4 2 4 5" xfId="6599" xr:uid="{00000000-0005-0000-0000-000048210000}"/>
    <cellStyle name="Normal 6 4 2 4 6" xfId="8039" xr:uid="{00000000-0005-0000-0000-000049210000}"/>
    <cellStyle name="Normal 6 4 2 4 7" xfId="9473" xr:uid="{00000000-0005-0000-0000-00004A210000}"/>
    <cellStyle name="Normal 6 4 2 5" xfId="1328" xr:uid="{00000000-0005-0000-0000-00004B210000}"/>
    <cellStyle name="Normal 6 4 2 5 2" xfId="2803" xr:uid="{00000000-0005-0000-0000-00004C210000}"/>
    <cellStyle name="Normal 6 4 2 5 3" xfId="4240" xr:uid="{00000000-0005-0000-0000-00004D210000}"/>
    <cellStyle name="Normal 6 4 2 5 4" xfId="5677" xr:uid="{00000000-0005-0000-0000-00004E210000}"/>
    <cellStyle name="Normal 6 4 2 5 5" xfId="7123" xr:uid="{00000000-0005-0000-0000-00004F210000}"/>
    <cellStyle name="Normal 6 4 2 5 6" xfId="8564" xr:uid="{00000000-0005-0000-0000-000050210000}"/>
    <cellStyle name="Normal 6 4 2 5 7" xfId="9997" xr:uid="{00000000-0005-0000-0000-000051210000}"/>
    <cellStyle name="Normal 6 4 2 6" xfId="1802" xr:uid="{00000000-0005-0000-0000-000052210000}"/>
    <cellStyle name="Normal 6 4 2 7" xfId="3259" xr:uid="{00000000-0005-0000-0000-000053210000}"/>
    <cellStyle name="Normal 6 4 2 8" xfId="4696" xr:uid="{00000000-0005-0000-0000-000054210000}"/>
    <cellStyle name="Normal 6 4 2 9" xfId="6142" xr:uid="{00000000-0005-0000-0000-000055210000}"/>
    <cellStyle name="Normal 6 4 3" xfId="357" xr:uid="{00000000-0005-0000-0000-000056210000}"/>
    <cellStyle name="Normal 6 4 3 2" xfId="839" xr:uid="{00000000-0005-0000-0000-000057210000}"/>
    <cellStyle name="Normal 6 4 3 2 2" xfId="2330" xr:uid="{00000000-0005-0000-0000-000058210000}"/>
    <cellStyle name="Normal 6 4 3 2 3" xfId="3781" xr:uid="{00000000-0005-0000-0000-000059210000}"/>
    <cellStyle name="Normal 6 4 3 2 4" xfId="5218" xr:uid="{00000000-0005-0000-0000-00005A210000}"/>
    <cellStyle name="Normal 6 4 3 2 5" xfId="6664" xr:uid="{00000000-0005-0000-0000-00005B210000}"/>
    <cellStyle name="Normal 6 4 3 2 6" xfId="8104" xr:uid="{00000000-0005-0000-0000-00005C210000}"/>
    <cellStyle name="Normal 6 4 3 2 7" xfId="9538" xr:uid="{00000000-0005-0000-0000-00005D210000}"/>
    <cellStyle name="Normal 6 4 3 3" xfId="1393" xr:uid="{00000000-0005-0000-0000-00005E210000}"/>
    <cellStyle name="Normal 6 4 3 3 2" xfId="2868" xr:uid="{00000000-0005-0000-0000-00005F210000}"/>
    <cellStyle name="Normal 6 4 3 3 3" xfId="4305" xr:uid="{00000000-0005-0000-0000-000060210000}"/>
    <cellStyle name="Normal 6 4 3 3 4" xfId="5742" xr:uid="{00000000-0005-0000-0000-000061210000}"/>
    <cellStyle name="Normal 6 4 3 3 5" xfId="7188" xr:uid="{00000000-0005-0000-0000-000062210000}"/>
    <cellStyle name="Normal 6 4 3 3 6" xfId="8629" xr:uid="{00000000-0005-0000-0000-000063210000}"/>
    <cellStyle name="Normal 6 4 3 3 7" xfId="10062" xr:uid="{00000000-0005-0000-0000-000064210000}"/>
    <cellStyle name="Normal 6 4 3 4" xfId="1867" xr:uid="{00000000-0005-0000-0000-000065210000}"/>
    <cellStyle name="Normal 6 4 3 5" xfId="3324" xr:uid="{00000000-0005-0000-0000-000066210000}"/>
    <cellStyle name="Normal 6 4 3 6" xfId="4761" xr:uid="{00000000-0005-0000-0000-000067210000}"/>
    <cellStyle name="Normal 6 4 3 7" xfId="6207" xr:uid="{00000000-0005-0000-0000-000068210000}"/>
    <cellStyle name="Normal 6 4 3 8" xfId="7645" xr:uid="{00000000-0005-0000-0000-000069210000}"/>
    <cellStyle name="Normal 6 4 3 9" xfId="9082" xr:uid="{00000000-0005-0000-0000-00006A210000}"/>
    <cellStyle name="Normal 6 4 4" xfId="496" xr:uid="{00000000-0005-0000-0000-00006B210000}"/>
    <cellStyle name="Normal 6 4 4 2" xfId="975" xr:uid="{00000000-0005-0000-0000-00006C210000}"/>
    <cellStyle name="Normal 6 4 4 2 2" xfId="2466" xr:uid="{00000000-0005-0000-0000-00006D210000}"/>
    <cellStyle name="Normal 6 4 4 2 3" xfId="3913" xr:uid="{00000000-0005-0000-0000-00006E210000}"/>
    <cellStyle name="Normal 6 4 4 2 4" xfId="5350" xr:uid="{00000000-0005-0000-0000-00006F210000}"/>
    <cellStyle name="Normal 6 4 4 2 5" xfId="6796" xr:uid="{00000000-0005-0000-0000-000070210000}"/>
    <cellStyle name="Normal 6 4 4 2 6" xfId="8236" xr:uid="{00000000-0005-0000-0000-000071210000}"/>
    <cellStyle name="Normal 6 4 4 2 7" xfId="9670" xr:uid="{00000000-0005-0000-0000-000072210000}"/>
    <cellStyle name="Normal 6 4 4 3" xfId="1527" xr:uid="{00000000-0005-0000-0000-000073210000}"/>
    <cellStyle name="Normal 6 4 4 3 2" xfId="3000" xr:uid="{00000000-0005-0000-0000-000074210000}"/>
    <cellStyle name="Normal 6 4 4 3 3" xfId="4437" xr:uid="{00000000-0005-0000-0000-000075210000}"/>
    <cellStyle name="Normal 6 4 4 3 4" xfId="5874" xr:uid="{00000000-0005-0000-0000-000076210000}"/>
    <cellStyle name="Normal 6 4 4 3 5" xfId="7320" xr:uid="{00000000-0005-0000-0000-000077210000}"/>
    <cellStyle name="Normal 6 4 4 3 6" xfId="8761" xr:uid="{00000000-0005-0000-0000-000078210000}"/>
    <cellStyle name="Normal 6 4 4 3 7" xfId="10194" xr:uid="{00000000-0005-0000-0000-000079210000}"/>
    <cellStyle name="Normal 6 4 4 4" xfId="1999" xr:uid="{00000000-0005-0000-0000-00007A210000}"/>
    <cellStyle name="Normal 6 4 4 5" xfId="3456" xr:uid="{00000000-0005-0000-0000-00007B210000}"/>
    <cellStyle name="Normal 6 4 4 6" xfId="4893" xr:uid="{00000000-0005-0000-0000-00007C210000}"/>
    <cellStyle name="Normal 6 4 4 7" xfId="6339" xr:uid="{00000000-0005-0000-0000-00007D210000}"/>
    <cellStyle name="Normal 6 4 4 8" xfId="7777" xr:uid="{00000000-0005-0000-0000-00007E210000}"/>
    <cellStyle name="Normal 6 4 4 9" xfId="9214" xr:uid="{00000000-0005-0000-0000-00007F210000}"/>
    <cellStyle name="Normal 6 4 5" xfId="561" xr:uid="{00000000-0005-0000-0000-000080210000}"/>
    <cellStyle name="Normal 6 4 5 2" xfId="1040" xr:uid="{00000000-0005-0000-0000-000081210000}"/>
    <cellStyle name="Normal 6 4 5 2 2" xfId="2531" xr:uid="{00000000-0005-0000-0000-000082210000}"/>
    <cellStyle name="Normal 6 4 5 2 3" xfId="3978" xr:uid="{00000000-0005-0000-0000-000083210000}"/>
    <cellStyle name="Normal 6 4 5 2 4" xfId="5415" xr:uid="{00000000-0005-0000-0000-000084210000}"/>
    <cellStyle name="Normal 6 4 5 2 5" xfId="6861" xr:uid="{00000000-0005-0000-0000-000085210000}"/>
    <cellStyle name="Normal 6 4 5 2 6" xfId="8301" xr:uid="{00000000-0005-0000-0000-000086210000}"/>
    <cellStyle name="Normal 6 4 5 2 7" xfId="9735" xr:uid="{00000000-0005-0000-0000-000087210000}"/>
    <cellStyle name="Normal 6 4 5 3" xfId="1592" xr:uid="{00000000-0005-0000-0000-000088210000}"/>
    <cellStyle name="Normal 6 4 5 3 2" xfId="3065" xr:uid="{00000000-0005-0000-0000-000089210000}"/>
    <cellStyle name="Normal 6 4 5 3 3" xfId="4502" xr:uid="{00000000-0005-0000-0000-00008A210000}"/>
    <cellStyle name="Normal 6 4 5 3 4" xfId="5939" xr:uid="{00000000-0005-0000-0000-00008B210000}"/>
    <cellStyle name="Normal 6 4 5 3 5" xfId="7385" xr:uid="{00000000-0005-0000-0000-00008C210000}"/>
    <cellStyle name="Normal 6 4 5 3 6" xfId="8826" xr:uid="{00000000-0005-0000-0000-00008D210000}"/>
    <cellStyle name="Normal 6 4 5 3 7" xfId="10259" xr:uid="{00000000-0005-0000-0000-00008E210000}"/>
    <cellStyle name="Normal 6 4 5 4" xfId="2064" xr:uid="{00000000-0005-0000-0000-00008F210000}"/>
    <cellStyle name="Normal 6 4 5 5" xfId="3521" xr:uid="{00000000-0005-0000-0000-000090210000}"/>
    <cellStyle name="Normal 6 4 5 6" xfId="4958" xr:uid="{00000000-0005-0000-0000-000091210000}"/>
    <cellStyle name="Normal 6 4 5 7" xfId="6404" xr:uid="{00000000-0005-0000-0000-000092210000}"/>
    <cellStyle name="Normal 6 4 5 8" xfId="7842" xr:uid="{00000000-0005-0000-0000-000093210000}"/>
    <cellStyle name="Normal 6 4 5 9" xfId="9278" xr:uid="{00000000-0005-0000-0000-000094210000}"/>
    <cellStyle name="Normal 6 4 6" xfId="703" xr:uid="{00000000-0005-0000-0000-000095210000}"/>
    <cellStyle name="Normal 6 4 6 2" xfId="2194" xr:uid="{00000000-0005-0000-0000-000096210000}"/>
    <cellStyle name="Normal 6 4 6 3" xfId="3651" xr:uid="{00000000-0005-0000-0000-000097210000}"/>
    <cellStyle name="Normal 6 4 6 4" xfId="5088" xr:uid="{00000000-0005-0000-0000-000098210000}"/>
    <cellStyle name="Normal 6 4 6 5" xfId="6534" xr:uid="{00000000-0005-0000-0000-000099210000}"/>
    <cellStyle name="Normal 6 4 6 6" xfId="7973" xr:uid="{00000000-0005-0000-0000-00009A210000}"/>
    <cellStyle name="Normal 6 4 6 7" xfId="9408" xr:uid="{00000000-0005-0000-0000-00009B210000}"/>
    <cellStyle name="Normal 6 4 7" xfId="1194" xr:uid="{00000000-0005-0000-0000-00009C210000}"/>
    <cellStyle name="Normal 6 4 7 2" xfId="2673" xr:uid="{00000000-0005-0000-0000-00009D210000}"/>
    <cellStyle name="Normal 6 4 7 3" xfId="4110" xr:uid="{00000000-0005-0000-0000-00009E210000}"/>
    <cellStyle name="Normal 6 4 7 4" xfId="5547" xr:uid="{00000000-0005-0000-0000-00009F210000}"/>
    <cellStyle name="Normal 6 4 7 5" xfId="6993" xr:uid="{00000000-0005-0000-0000-0000A0210000}"/>
    <cellStyle name="Normal 6 4 7 6" xfId="8434" xr:uid="{00000000-0005-0000-0000-0000A1210000}"/>
    <cellStyle name="Normal 6 4 7 7" xfId="9867" xr:uid="{00000000-0005-0000-0000-0000A2210000}"/>
    <cellStyle name="Normal 6 4 8" xfId="1259" xr:uid="{00000000-0005-0000-0000-0000A3210000}"/>
    <cellStyle name="Normal 6 4 8 2" xfId="2738" xr:uid="{00000000-0005-0000-0000-0000A4210000}"/>
    <cellStyle name="Normal 6 4 8 3" xfId="4175" xr:uid="{00000000-0005-0000-0000-0000A5210000}"/>
    <cellStyle name="Normal 6 4 8 4" xfId="5612" xr:uid="{00000000-0005-0000-0000-0000A6210000}"/>
    <cellStyle name="Normal 6 4 8 5" xfId="7058" xr:uid="{00000000-0005-0000-0000-0000A7210000}"/>
    <cellStyle name="Normal 6 4 8 6" xfId="8499" xr:uid="{00000000-0005-0000-0000-0000A8210000}"/>
    <cellStyle name="Normal 6 4 8 7" xfId="9932" xr:uid="{00000000-0005-0000-0000-0000A9210000}"/>
    <cellStyle name="Normal 6 4 9" xfId="1737" xr:uid="{00000000-0005-0000-0000-0000AA210000}"/>
    <cellStyle name="Normal 6 5" xfId="257" xr:uid="{00000000-0005-0000-0000-0000AB210000}"/>
    <cellStyle name="Normal 6 5 10" xfId="7546" xr:uid="{00000000-0005-0000-0000-0000AC210000}"/>
    <cellStyle name="Normal 6 5 11" xfId="8985" xr:uid="{00000000-0005-0000-0000-0000AD210000}"/>
    <cellStyle name="Normal 6 5 2" xfId="392" xr:uid="{00000000-0005-0000-0000-0000AE210000}"/>
    <cellStyle name="Normal 6 5 2 2" xfId="874" xr:uid="{00000000-0005-0000-0000-0000AF210000}"/>
    <cellStyle name="Normal 6 5 2 2 2" xfId="2365" xr:uid="{00000000-0005-0000-0000-0000B0210000}"/>
    <cellStyle name="Normal 6 5 2 2 3" xfId="3812" xr:uid="{00000000-0005-0000-0000-0000B1210000}"/>
    <cellStyle name="Normal 6 5 2 2 4" xfId="5249" xr:uid="{00000000-0005-0000-0000-0000B2210000}"/>
    <cellStyle name="Normal 6 5 2 2 5" xfId="6695" xr:uid="{00000000-0005-0000-0000-0000B3210000}"/>
    <cellStyle name="Normal 6 5 2 2 6" xfId="8135" xr:uid="{00000000-0005-0000-0000-0000B4210000}"/>
    <cellStyle name="Normal 6 5 2 2 7" xfId="9569" xr:uid="{00000000-0005-0000-0000-0000B5210000}"/>
    <cellStyle name="Normal 6 5 2 3" xfId="1426" xr:uid="{00000000-0005-0000-0000-0000B6210000}"/>
    <cellStyle name="Normal 6 5 2 3 2" xfId="2899" xr:uid="{00000000-0005-0000-0000-0000B7210000}"/>
    <cellStyle name="Normal 6 5 2 3 3" xfId="4336" xr:uid="{00000000-0005-0000-0000-0000B8210000}"/>
    <cellStyle name="Normal 6 5 2 3 4" xfId="5773" xr:uid="{00000000-0005-0000-0000-0000B9210000}"/>
    <cellStyle name="Normal 6 5 2 3 5" xfId="7219" xr:uid="{00000000-0005-0000-0000-0000BA210000}"/>
    <cellStyle name="Normal 6 5 2 3 6" xfId="8660" xr:uid="{00000000-0005-0000-0000-0000BB210000}"/>
    <cellStyle name="Normal 6 5 2 3 7" xfId="10093" xr:uid="{00000000-0005-0000-0000-0000BC210000}"/>
    <cellStyle name="Normal 6 5 2 4" xfId="1898" xr:uid="{00000000-0005-0000-0000-0000BD210000}"/>
    <cellStyle name="Normal 6 5 2 5" xfId="3355" xr:uid="{00000000-0005-0000-0000-0000BE210000}"/>
    <cellStyle name="Normal 6 5 2 6" xfId="4792" xr:uid="{00000000-0005-0000-0000-0000BF210000}"/>
    <cellStyle name="Normal 6 5 2 7" xfId="6238" xr:uid="{00000000-0005-0000-0000-0000C0210000}"/>
    <cellStyle name="Normal 6 5 2 8" xfId="7676" xr:uid="{00000000-0005-0000-0000-0000C1210000}"/>
    <cellStyle name="Normal 6 5 2 9" xfId="9113" xr:uid="{00000000-0005-0000-0000-0000C2210000}"/>
    <cellStyle name="Normal 6 5 3" xfId="596" xr:uid="{00000000-0005-0000-0000-0000C3210000}"/>
    <cellStyle name="Normal 6 5 3 2" xfId="1075" xr:uid="{00000000-0005-0000-0000-0000C4210000}"/>
    <cellStyle name="Normal 6 5 3 2 2" xfId="2566" xr:uid="{00000000-0005-0000-0000-0000C5210000}"/>
    <cellStyle name="Normal 6 5 3 2 3" xfId="4009" xr:uid="{00000000-0005-0000-0000-0000C6210000}"/>
    <cellStyle name="Normal 6 5 3 2 4" xfId="5446" xr:uid="{00000000-0005-0000-0000-0000C7210000}"/>
    <cellStyle name="Normal 6 5 3 2 5" xfId="6892" xr:uid="{00000000-0005-0000-0000-0000C8210000}"/>
    <cellStyle name="Normal 6 5 3 2 6" xfId="8332" xr:uid="{00000000-0005-0000-0000-0000C9210000}"/>
    <cellStyle name="Normal 6 5 3 2 7" xfId="9766" xr:uid="{00000000-0005-0000-0000-0000CA210000}"/>
    <cellStyle name="Normal 6 5 3 3" xfId="1625" xr:uid="{00000000-0005-0000-0000-0000CB210000}"/>
    <cellStyle name="Normal 6 5 3 3 2" xfId="3096" xr:uid="{00000000-0005-0000-0000-0000CC210000}"/>
    <cellStyle name="Normal 6 5 3 3 3" xfId="4533" xr:uid="{00000000-0005-0000-0000-0000CD210000}"/>
    <cellStyle name="Normal 6 5 3 3 4" xfId="5970" xr:uid="{00000000-0005-0000-0000-0000CE210000}"/>
    <cellStyle name="Normal 6 5 3 3 5" xfId="7416" xr:uid="{00000000-0005-0000-0000-0000CF210000}"/>
    <cellStyle name="Normal 6 5 3 3 6" xfId="8857" xr:uid="{00000000-0005-0000-0000-0000D0210000}"/>
    <cellStyle name="Normal 6 5 3 3 7" xfId="10290" xr:uid="{00000000-0005-0000-0000-0000D1210000}"/>
    <cellStyle name="Normal 6 5 3 4" xfId="2095" xr:uid="{00000000-0005-0000-0000-0000D2210000}"/>
    <cellStyle name="Normal 6 5 3 5" xfId="3552" xr:uid="{00000000-0005-0000-0000-0000D3210000}"/>
    <cellStyle name="Normal 6 5 3 6" xfId="4989" xr:uid="{00000000-0005-0000-0000-0000D4210000}"/>
    <cellStyle name="Normal 6 5 3 7" xfId="6435" xr:uid="{00000000-0005-0000-0000-0000D5210000}"/>
    <cellStyle name="Normal 6 5 3 8" xfId="7874" xr:uid="{00000000-0005-0000-0000-0000D6210000}"/>
    <cellStyle name="Normal 6 5 3 9" xfId="9309" xr:uid="{00000000-0005-0000-0000-0000D7210000}"/>
    <cellStyle name="Normal 6 5 4" xfId="738" xr:uid="{00000000-0005-0000-0000-0000D8210000}"/>
    <cellStyle name="Normal 6 5 4 2" xfId="2229" xr:uid="{00000000-0005-0000-0000-0000D9210000}"/>
    <cellStyle name="Normal 6 5 4 3" xfId="3682" xr:uid="{00000000-0005-0000-0000-0000DA210000}"/>
    <cellStyle name="Normal 6 5 4 4" xfId="5119" xr:uid="{00000000-0005-0000-0000-0000DB210000}"/>
    <cellStyle name="Normal 6 5 4 5" xfId="6565" xr:uid="{00000000-0005-0000-0000-0000DC210000}"/>
    <cellStyle name="Normal 6 5 4 6" xfId="8005" xr:uid="{00000000-0005-0000-0000-0000DD210000}"/>
    <cellStyle name="Normal 6 5 4 7" xfId="9439" xr:uid="{00000000-0005-0000-0000-0000DE210000}"/>
    <cellStyle name="Normal 6 5 5" xfId="1294" xr:uid="{00000000-0005-0000-0000-0000DF210000}"/>
    <cellStyle name="Normal 6 5 5 2" xfId="2769" xr:uid="{00000000-0005-0000-0000-0000E0210000}"/>
    <cellStyle name="Normal 6 5 5 3" xfId="4206" xr:uid="{00000000-0005-0000-0000-0000E1210000}"/>
    <cellStyle name="Normal 6 5 5 4" xfId="5643" xr:uid="{00000000-0005-0000-0000-0000E2210000}"/>
    <cellStyle name="Normal 6 5 5 5" xfId="7089" xr:uid="{00000000-0005-0000-0000-0000E3210000}"/>
    <cellStyle name="Normal 6 5 5 6" xfId="8530" xr:uid="{00000000-0005-0000-0000-0000E4210000}"/>
    <cellStyle name="Normal 6 5 5 7" xfId="9963" xr:uid="{00000000-0005-0000-0000-0000E5210000}"/>
    <cellStyle name="Normal 6 5 6" xfId="1768" xr:uid="{00000000-0005-0000-0000-0000E6210000}"/>
    <cellStyle name="Normal 6 5 7" xfId="3225" xr:uid="{00000000-0005-0000-0000-0000E7210000}"/>
    <cellStyle name="Normal 6 5 8" xfId="4662" xr:uid="{00000000-0005-0000-0000-0000E8210000}"/>
    <cellStyle name="Normal 6 5 9" xfId="6108" xr:uid="{00000000-0005-0000-0000-0000E9210000}"/>
    <cellStyle name="Normal 6 6" xfId="323" xr:uid="{00000000-0005-0000-0000-0000EA210000}"/>
    <cellStyle name="Normal 6 6 2" xfId="805" xr:uid="{00000000-0005-0000-0000-0000EB210000}"/>
    <cellStyle name="Normal 6 6 2 2" xfId="2296" xr:uid="{00000000-0005-0000-0000-0000EC210000}"/>
    <cellStyle name="Normal 6 6 2 3" xfId="3747" xr:uid="{00000000-0005-0000-0000-0000ED210000}"/>
    <cellStyle name="Normal 6 6 2 4" xfId="5184" xr:uid="{00000000-0005-0000-0000-0000EE210000}"/>
    <cellStyle name="Normal 6 6 2 5" xfId="6630" xr:uid="{00000000-0005-0000-0000-0000EF210000}"/>
    <cellStyle name="Normal 6 6 2 6" xfId="8070" xr:uid="{00000000-0005-0000-0000-0000F0210000}"/>
    <cellStyle name="Normal 6 6 2 7" xfId="9504" xr:uid="{00000000-0005-0000-0000-0000F1210000}"/>
    <cellStyle name="Normal 6 6 3" xfId="1359" xr:uid="{00000000-0005-0000-0000-0000F2210000}"/>
    <cellStyle name="Normal 6 6 3 2" xfId="2834" xr:uid="{00000000-0005-0000-0000-0000F3210000}"/>
    <cellStyle name="Normal 6 6 3 3" xfId="4271" xr:uid="{00000000-0005-0000-0000-0000F4210000}"/>
    <cellStyle name="Normal 6 6 3 4" xfId="5708" xr:uid="{00000000-0005-0000-0000-0000F5210000}"/>
    <cellStyle name="Normal 6 6 3 5" xfId="7154" xr:uid="{00000000-0005-0000-0000-0000F6210000}"/>
    <cellStyle name="Normal 6 6 3 6" xfId="8595" xr:uid="{00000000-0005-0000-0000-0000F7210000}"/>
    <cellStyle name="Normal 6 6 3 7" xfId="10028" xr:uid="{00000000-0005-0000-0000-0000F8210000}"/>
    <cellStyle name="Normal 6 6 4" xfId="1833" xr:uid="{00000000-0005-0000-0000-0000F9210000}"/>
    <cellStyle name="Normal 6 6 5" xfId="3290" xr:uid="{00000000-0005-0000-0000-0000FA210000}"/>
    <cellStyle name="Normal 6 6 6" xfId="4727" xr:uid="{00000000-0005-0000-0000-0000FB210000}"/>
    <cellStyle name="Normal 6 6 7" xfId="6173" xr:uid="{00000000-0005-0000-0000-0000FC210000}"/>
    <cellStyle name="Normal 6 6 8" xfId="7611" xr:uid="{00000000-0005-0000-0000-0000FD210000}"/>
    <cellStyle name="Normal 6 6 9" xfId="9049" xr:uid="{00000000-0005-0000-0000-0000FE210000}"/>
    <cellStyle name="Normal 6 7" xfId="466" xr:uid="{00000000-0005-0000-0000-0000FF210000}"/>
    <cellStyle name="Normal 6 7 2" xfId="945" xr:uid="{00000000-0005-0000-0000-000000220000}"/>
    <cellStyle name="Normal 6 7 2 2" xfId="2436" xr:uid="{00000000-0005-0000-0000-000001220000}"/>
    <cellStyle name="Normal 6 7 2 3" xfId="3883" xr:uid="{00000000-0005-0000-0000-000002220000}"/>
    <cellStyle name="Normal 6 7 2 4" xfId="5320" xr:uid="{00000000-0005-0000-0000-000003220000}"/>
    <cellStyle name="Normal 6 7 2 5" xfId="6766" xr:uid="{00000000-0005-0000-0000-000004220000}"/>
    <cellStyle name="Normal 6 7 2 6" xfId="8206" xr:uid="{00000000-0005-0000-0000-000005220000}"/>
    <cellStyle name="Normal 6 7 2 7" xfId="9640" xr:uid="{00000000-0005-0000-0000-000006220000}"/>
    <cellStyle name="Normal 6 7 3" xfId="1497" xr:uid="{00000000-0005-0000-0000-000007220000}"/>
    <cellStyle name="Normal 6 7 3 2" xfId="2970" xr:uid="{00000000-0005-0000-0000-000008220000}"/>
    <cellStyle name="Normal 6 7 3 3" xfId="4407" xr:uid="{00000000-0005-0000-0000-000009220000}"/>
    <cellStyle name="Normal 6 7 3 4" xfId="5844" xr:uid="{00000000-0005-0000-0000-00000A220000}"/>
    <cellStyle name="Normal 6 7 3 5" xfId="7290" xr:uid="{00000000-0005-0000-0000-00000B220000}"/>
    <cellStyle name="Normal 6 7 3 6" xfId="8731" xr:uid="{00000000-0005-0000-0000-00000C220000}"/>
    <cellStyle name="Normal 6 7 3 7" xfId="10164" xr:uid="{00000000-0005-0000-0000-00000D220000}"/>
    <cellStyle name="Normal 6 7 4" xfId="1969" xr:uid="{00000000-0005-0000-0000-00000E220000}"/>
    <cellStyle name="Normal 6 7 5" xfId="3426" xr:uid="{00000000-0005-0000-0000-00000F220000}"/>
    <cellStyle name="Normal 6 7 6" xfId="4863" xr:uid="{00000000-0005-0000-0000-000010220000}"/>
    <cellStyle name="Normal 6 7 7" xfId="6309" xr:uid="{00000000-0005-0000-0000-000011220000}"/>
    <cellStyle name="Normal 6 7 8" xfId="7747" xr:uid="{00000000-0005-0000-0000-000012220000}"/>
    <cellStyle name="Normal 6 7 9" xfId="9184" xr:uid="{00000000-0005-0000-0000-000013220000}"/>
    <cellStyle name="Normal 6 8" xfId="527" xr:uid="{00000000-0005-0000-0000-000014220000}"/>
    <cellStyle name="Normal 6 8 2" xfId="1006" xr:uid="{00000000-0005-0000-0000-000015220000}"/>
    <cellStyle name="Normal 6 8 2 2" xfId="2497" xr:uid="{00000000-0005-0000-0000-000016220000}"/>
    <cellStyle name="Normal 6 8 2 3" xfId="3944" xr:uid="{00000000-0005-0000-0000-000017220000}"/>
    <cellStyle name="Normal 6 8 2 4" xfId="5381" xr:uid="{00000000-0005-0000-0000-000018220000}"/>
    <cellStyle name="Normal 6 8 2 5" xfId="6827" xr:uid="{00000000-0005-0000-0000-000019220000}"/>
    <cellStyle name="Normal 6 8 2 6" xfId="8267" xr:uid="{00000000-0005-0000-0000-00001A220000}"/>
    <cellStyle name="Normal 6 8 2 7" xfId="9701" xr:uid="{00000000-0005-0000-0000-00001B220000}"/>
    <cellStyle name="Normal 6 8 3" xfId="1558" xr:uid="{00000000-0005-0000-0000-00001C220000}"/>
    <cellStyle name="Normal 6 8 3 2" xfId="3031" xr:uid="{00000000-0005-0000-0000-00001D220000}"/>
    <cellStyle name="Normal 6 8 3 3" xfId="4468" xr:uid="{00000000-0005-0000-0000-00001E220000}"/>
    <cellStyle name="Normal 6 8 3 4" xfId="5905" xr:uid="{00000000-0005-0000-0000-00001F220000}"/>
    <cellStyle name="Normal 6 8 3 5" xfId="7351" xr:uid="{00000000-0005-0000-0000-000020220000}"/>
    <cellStyle name="Normal 6 8 3 6" xfId="8792" xr:uid="{00000000-0005-0000-0000-000021220000}"/>
    <cellStyle name="Normal 6 8 3 7" xfId="10225" xr:uid="{00000000-0005-0000-0000-000022220000}"/>
    <cellStyle name="Normal 6 8 4" xfId="2030" xr:uid="{00000000-0005-0000-0000-000023220000}"/>
    <cellStyle name="Normal 6 8 5" xfId="3487" xr:uid="{00000000-0005-0000-0000-000024220000}"/>
    <cellStyle name="Normal 6 8 6" xfId="4924" xr:uid="{00000000-0005-0000-0000-000025220000}"/>
    <cellStyle name="Normal 6 8 7" xfId="6370" xr:uid="{00000000-0005-0000-0000-000026220000}"/>
    <cellStyle name="Normal 6 8 8" xfId="7808" xr:uid="{00000000-0005-0000-0000-000027220000}"/>
    <cellStyle name="Normal 6 8 9" xfId="9245" xr:uid="{00000000-0005-0000-0000-000028220000}"/>
    <cellStyle name="Normal 6 9" xfId="669" xr:uid="{00000000-0005-0000-0000-000029220000}"/>
    <cellStyle name="Normal 6 9 2" xfId="2160" xr:uid="{00000000-0005-0000-0000-00002A220000}"/>
    <cellStyle name="Normal 6 9 3" xfId="3617" xr:uid="{00000000-0005-0000-0000-00002B220000}"/>
    <cellStyle name="Normal 6 9 4" xfId="5054" xr:uid="{00000000-0005-0000-0000-00002C220000}"/>
    <cellStyle name="Normal 6 9 5" xfId="6500" xr:uid="{00000000-0005-0000-0000-00002D220000}"/>
    <cellStyle name="Normal 6 9 6" xfId="7939" xr:uid="{00000000-0005-0000-0000-00002E220000}"/>
    <cellStyle name="Normal 6 9 7" xfId="9374" xr:uid="{00000000-0005-0000-0000-00002F220000}"/>
    <cellStyle name="Normal 7" xfId="69" xr:uid="{00000000-0005-0000-0000-000030220000}"/>
    <cellStyle name="Normal 7 10" xfId="1165" xr:uid="{00000000-0005-0000-0000-000031220000}"/>
    <cellStyle name="Normal 7 10 2" xfId="2644" xr:uid="{00000000-0005-0000-0000-000032220000}"/>
    <cellStyle name="Normal 7 10 3" xfId="4081" xr:uid="{00000000-0005-0000-0000-000033220000}"/>
    <cellStyle name="Normal 7 10 4" xfId="5518" xr:uid="{00000000-0005-0000-0000-000034220000}"/>
    <cellStyle name="Normal 7 10 5" xfId="6964" xr:uid="{00000000-0005-0000-0000-000035220000}"/>
    <cellStyle name="Normal 7 10 6" xfId="8405" xr:uid="{00000000-0005-0000-0000-000036220000}"/>
    <cellStyle name="Normal 7 10 7" xfId="9838" xr:uid="{00000000-0005-0000-0000-000037220000}"/>
    <cellStyle name="Normal 7 11" xfId="1226" xr:uid="{00000000-0005-0000-0000-000038220000}"/>
    <cellStyle name="Normal 7 11 2" xfId="2705" xr:uid="{00000000-0005-0000-0000-000039220000}"/>
    <cellStyle name="Normal 7 11 3" xfId="4142" xr:uid="{00000000-0005-0000-0000-00003A220000}"/>
    <cellStyle name="Normal 7 11 4" xfId="5579" xr:uid="{00000000-0005-0000-0000-00003B220000}"/>
    <cellStyle name="Normal 7 11 5" xfId="7025" xr:uid="{00000000-0005-0000-0000-00003C220000}"/>
    <cellStyle name="Normal 7 11 6" xfId="8466" xr:uid="{00000000-0005-0000-0000-00003D220000}"/>
    <cellStyle name="Normal 7 11 7" xfId="9899" xr:uid="{00000000-0005-0000-0000-00003E220000}"/>
    <cellStyle name="Normal 7 12" xfId="1705" xr:uid="{00000000-0005-0000-0000-00003F220000}"/>
    <cellStyle name="Normal 7 13" xfId="3162" xr:uid="{00000000-0005-0000-0000-000040220000}"/>
    <cellStyle name="Normal 7 14" xfId="4599" xr:uid="{00000000-0005-0000-0000-000041220000}"/>
    <cellStyle name="Normal 7 15" xfId="6045" xr:uid="{00000000-0005-0000-0000-000042220000}"/>
    <cellStyle name="Normal 7 16" xfId="7483" xr:uid="{00000000-0005-0000-0000-000043220000}"/>
    <cellStyle name="Normal 7 17" xfId="8923" xr:uid="{00000000-0005-0000-0000-000044220000}"/>
    <cellStyle name="Normal 7 2" xfId="120" xr:uid="{00000000-0005-0000-0000-000045220000}"/>
    <cellStyle name="Normal 7 2 10" xfId="1234" xr:uid="{00000000-0005-0000-0000-000046220000}"/>
    <cellStyle name="Normal 7 2 10 2" xfId="2713" xr:uid="{00000000-0005-0000-0000-000047220000}"/>
    <cellStyle name="Normal 7 2 10 3" xfId="4150" xr:uid="{00000000-0005-0000-0000-000048220000}"/>
    <cellStyle name="Normal 7 2 10 4" xfId="5587" xr:uid="{00000000-0005-0000-0000-000049220000}"/>
    <cellStyle name="Normal 7 2 10 5" xfId="7033" xr:uid="{00000000-0005-0000-0000-00004A220000}"/>
    <cellStyle name="Normal 7 2 10 6" xfId="8474" xr:uid="{00000000-0005-0000-0000-00004B220000}"/>
    <cellStyle name="Normal 7 2 10 7" xfId="9907" xr:uid="{00000000-0005-0000-0000-00004C220000}"/>
    <cellStyle name="Normal 7 2 11" xfId="1713" xr:uid="{00000000-0005-0000-0000-00004D220000}"/>
    <cellStyle name="Normal 7 2 12" xfId="3170" xr:uid="{00000000-0005-0000-0000-00004E220000}"/>
    <cellStyle name="Normal 7 2 13" xfId="4607" xr:uid="{00000000-0005-0000-0000-00004F220000}"/>
    <cellStyle name="Normal 7 2 14" xfId="6053" xr:uid="{00000000-0005-0000-0000-000050220000}"/>
    <cellStyle name="Normal 7 2 15" xfId="7491" xr:uid="{00000000-0005-0000-0000-000051220000}"/>
    <cellStyle name="Normal 7 2 16" xfId="8931" xr:uid="{00000000-0005-0000-0000-000052220000}"/>
    <cellStyle name="Normal 7 2 2" xfId="179" xr:uid="{00000000-0005-0000-0000-000053220000}"/>
    <cellStyle name="Normal 7 2 2 10" xfId="1730" xr:uid="{00000000-0005-0000-0000-000054220000}"/>
    <cellStyle name="Normal 7 2 2 11" xfId="3187" xr:uid="{00000000-0005-0000-0000-000055220000}"/>
    <cellStyle name="Normal 7 2 2 12" xfId="4624" xr:uid="{00000000-0005-0000-0000-000056220000}"/>
    <cellStyle name="Normal 7 2 2 13" xfId="6070" xr:uid="{00000000-0005-0000-0000-000057220000}"/>
    <cellStyle name="Normal 7 2 2 14" xfId="7508" xr:uid="{00000000-0005-0000-0000-000058220000}"/>
    <cellStyle name="Normal 7 2 2 15" xfId="8948" xr:uid="{00000000-0005-0000-0000-000059220000}"/>
    <cellStyle name="Normal 7 2 2 2" xfId="244" xr:uid="{00000000-0005-0000-0000-00005A220000}"/>
    <cellStyle name="Normal 7 2 2 2 10" xfId="3218" xr:uid="{00000000-0005-0000-0000-00005B220000}"/>
    <cellStyle name="Normal 7 2 2 2 11" xfId="4655" xr:uid="{00000000-0005-0000-0000-00005C220000}"/>
    <cellStyle name="Normal 7 2 2 2 12" xfId="6101" xr:uid="{00000000-0005-0000-0000-00005D220000}"/>
    <cellStyle name="Normal 7 2 2 2 13" xfId="7539" xr:uid="{00000000-0005-0000-0000-00005E220000}"/>
    <cellStyle name="Normal 7 2 2 2 14" xfId="8979" xr:uid="{00000000-0005-0000-0000-00005F220000}"/>
    <cellStyle name="Normal 7 2 2 2 2" xfId="312" xr:uid="{00000000-0005-0000-0000-000060220000}"/>
    <cellStyle name="Normal 7 2 2 2 2 10" xfId="7604" xr:uid="{00000000-0005-0000-0000-000061220000}"/>
    <cellStyle name="Normal 7 2 2 2 2 11" xfId="9043" xr:uid="{00000000-0005-0000-0000-000062220000}"/>
    <cellStyle name="Normal 7 2 2 2 2 2" xfId="450" xr:uid="{00000000-0005-0000-0000-000063220000}"/>
    <cellStyle name="Normal 7 2 2 2 2 2 2" xfId="932" xr:uid="{00000000-0005-0000-0000-000064220000}"/>
    <cellStyle name="Normal 7 2 2 2 2 2 2 2" xfId="2423" xr:uid="{00000000-0005-0000-0000-000065220000}"/>
    <cellStyle name="Normal 7 2 2 2 2 2 2 3" xfId="3870" xr:uid="{00000000-0005-0000-0000-000066220000}"/>
    <cellStyle name="Normal 7 2 2 2 2 2 2 4" xfId="5307" xr:uid="{00000000-0005-0000-0000-000067220000}"/>
    <cellStyle name="Normal 7 2 2 2 2 2 2 5" xfId="6753" xr:uid="{00000000-0005-0000-0000-000068220000}"/>
    <cellStyle name="Normal 7 2 2 2 2 2 2 6" xfId="8193" xr:uid="{00000000-0005-0000-0000-000069220000}"/>
    <cellStyle name="Normal 7 2 2 2 2 2 2 7" xfId="9627" xr:uid="{00000000-0005-0000-0000-00006A220000}"/>
    <cellStyle name="Normal 7 2 2 2 2 2 3" xfId="1484" xr:uid="{00000000-0005-0000-0000-00006B220000}"/>
    <cellStyle name="Normal 7 2 2 2 2 2 3 2" xfId="2957" xr:uid="{00000000-0005-0000-0000-00006C220000}"/>
    <cellStyle name="Normal 7 2 2 2 2 2 3 3" xfId="4394" xr:uid="{00000000-0005-0000-0000-00006D220000}"/>
    <cellStyle name="Normal 7 2 2 2 2 2 3 4" xfId="5831" xr:uid="{00000000-0005-0000-0000-00006E220000}"/>
    <cellStyle name="Normal 7 2 2 2 2 2 3 5" xfId="7277" xr:uid="{00000000-0005-0000-0000-00006F220000}"/>
    <cellStyle name="Normal 7 2 2 2 2 2 3 6" xfId="8718" xr:uid="{00000000-0005-0000-0000-000070220000}"/>
    <cellStyle name="Normal 7 2 2 2 2 2 3 7" xfId="10151" xr:uid="{00000000-0005-0000-0000-000071220000}"/>
    <cellStyle name="Normal 7 2 2 2 2 2 4" xfId="1956" xr:uid="{00000000-0005-0000-0000-000072220000}"/>
    <cellStyle name="Normal 7 2 2 2 2 2 5" xfId="3413" xr:uid="{00000000-0005-0000-0000-000073220000}"/>
    <cellStyle name="Normal 7 2 2 2 2 2 6" xfId="4850" xr:uid="{00000000-0005-0000-0000-000074220000}"/>
    <cellStyle name="Normal 7 2 2 2 2 2 7" xfId="6296" xr:uid="{00000000-0005-0000-0000-000075220000}"/>
    <cellStyle name="Normal 7 2 2 2 2 2 8" xfId="7734" xr:uid="{00000000-0005-0000-0000-000076220000}"/>
    <cellStyle name="Normal 7 2 2 2 2 2 9" xfId="9171" xr:uid="{00000000-0005-0000-0000-000077220000}"/>
    <cellStyle name="Normal 7 2 2 2 2 3" xfId="654" xr:uid="{00000000-0005-0000-0000-000078220000}"/>
    <cellStyle name="Normal 7 2 2 2 2 3 2" xfId="1133" xr:uid="{00000000-0005-0000-0000-000079220000}"/>
    <cellStyle name="Normal 7 2 2 2 2 3 2 2" xfId="2624" xr:uid="{00000000-0005-0000-0000-00007A220000}"/>
    <cellStyle name="Normal 7 2 2 2 2 3 2 3" xfId="4067" xr:uid="{00000000-0005-0000-0000-00007B220000}"/>
    <cellStyle name="Normal 7 2 2 2 2 3 2 4" xfId="5504" xr:uid="{00000000-0005-0000-0000-00007C220000}"/>
    <cellStyle name="Normal 7 2 2 2 2 3 2 5" xfId="6950" xr:uid="{00000000-0005-0000-0000-00007D220000}"/>
    <cellStyle name="Normal 7 2 2 2 2 3 2 6" xfId="8390" xr:uid="{00000000-0005-0000-0000-00007E220000}"/>
    <cellStyle name="Normal 7 2 2 2 2 3 2 7" xfId="9824" xr:uid="{00000000-0005-0000-0000-00007F220000}"/>
    <cellStyle name="Normal 7 2 2 2 2 3 3" xfId="1683" xr:uid="{00000000-0005-0000-0000-000080220000}"/>
    <cellStyle name="Normal 7 2 2 2 2 3 3 2" xfId="3154" xr:uid="{00000000-0005-0000-0000-000081220000}"/>
    <cellStyle name="Normal 7 2 2 2 2 3 3 3" xfId="4591" xr:uid="{00000000-0005-0000-0000-000082220000}"/>
    <cellStyle name="Normal 7 2 2 2 2 3 3 4" xfId="6028" xr:uid="{00000000-0005-0000-0000-000083220000}"/>
    <cellStyle name="Normal 7 2 2 2 2 3 3 5" xfId="7474" xr:uid="{00000000-0005-0000-0000-000084220000}"/>
    <cellStyle name="Normal 7 2 2 2 2 3 3 6" xfId="8915" xr:uid="{00000000-0005-0000-0000-000085220000}"/>
    <cellStyle name="Normal 7 2 2 2 2 3 3 7" xfId="10348" xr:uid="{00000000-0005-0000-0000-000086220000}"/>
    <cellStyle name="Normal 7 2 2 2 2 3 4" xfId="2153" xr:uid="{00000000-0005-0000-0000-000087220000}"/>
    <cellStyle name="Normal 7 2 2 2 2 3 5" xfId="3610" xr:uid="{00000000-0005-0000-0000-000088220000}"/>
    <cellStyle name="Normal 7 2 2 2 2 3 6" xfId="5047" xr:uid="{00000000-0005-0000-0000-000089220000}"/>
    <cellStyle name="Normal 7 2 2 2 2 3 7" xfId="6493" xr:uid="{00000000-0005-0000-0000-00008A220000}"/>
    <cellStyle name="Normal 7 2 2 2 2 3 8" xfId="7932" xr:uid="{00000000-0005-0000-0000-00008B220000}"/>
    <cellStyle name="Normal 7 2 2 2 2 3 9" xfId="9367" xr:uid="{00000000-0005-0000-0000-00008C220000}"/>
    <cellStyle name="Normal 7 2 2 2 2 4" xfId="796" xr:uid="{00000000-0005-0000-0000-00008D220000}"/>
    <cellStyle name="Normal 7 2 2 2 2 4 2" xfId="2287" xr:uid="{00000000-0005-0000-0000-00008E220000}"/>
    <cellStyle name="Normal 7 2 2 2 2 4 3" xfId="3740" xr:uid="{00000000-0005-0000-0000-00008F220000}"/>
    <cellStyle name="Normal 7 2 2 2 2 4 4" xfId="5177" xr:uid="{00000000-0005-0000-0000-000090220000}"/>
    <cellStyle name="Normal 7 2 2 2 2 4 5" xfId="6623" xr:uid="{00000000-0005-0000-0000-000091220000}"/>
    <cellStyle name="Normal 7 2 2 2 2 4 6" xfId="8063" xr:uid="{00000000-0005-0000-0000-000092220000}"/>
    <cellStyle name="Normal 7 2 2 2 2 4 7" xfId="9497" xr:uid="{00000000-0005-0000-0000-000093220000}"/>
    <cellStyle name="Normal 7 2 2 2 2 5" xfId="1352" xr:uid="{00000000-0005-0000-0000-000094220000}"/>
    <cellStyle name="Normal 7 2 2 2 2 5 2" xfId="2827" xr:uid="{00000000-0005-0000-0000-000095220000}"/>
    <cellStyle name="Normal 7 2 2 2 2 5 3" xfId="4264" xr:uid="{00000000-0005-0000-0000-000096220000}"/>
    <cellStyle name="Normal 7 2 2 2 2 5 4" xfId="5701" xr:uid="{00000000-0005-0000-0000-000097220000}"/>
    <cellStyle name="Normal 7 2 2 2 2 5 5" xfId="7147" xr:uid="{00000000-0005-0000-0000-000098220000}"/>
    <cellStyle name="Normal 7 2 2 2 2 5 6" xfId="8588" xr:uid="{00000000-0005-0000-0000-000099220000}"/>
    <cellStyle name="Normal 7 2 2 2 2 5 7" xfId="10021" xr:uid="{00000000-0005-0000-0000-00009A220000}"/>
    <cellStyle name="Normal 7 2 2 2 2 6" xfId="1826" xr:uid="{00000000-0005-0000-0000-00009B220000}"/>
    <cellStyle name="Normal 7 2 2 2 2 7" xfId="3283" xr:uid="{00000000-0005-0000-0000-00009C220000}"/>
    <cellStyle name="Normal 7 2 2 2 2 8" xfId="4720" xr:uid="{00000000-0005-0000-0000-00009D220000}"/>
    <cellStyle name="Normal 7 2 2 2 2 9" xfId="6166" xr:uid="{00000000-0005-0000-0000-00009E220000}"/>
    <cellStyle name="Normal 7 2 2 2 3" xfId="381" xr:uid="{00000000-0005-0000-0000-00009F220000}"/>
    <cellStyle name="Normal 7 2 2 2 3 2" xfId="863" xr:uid="{00000000-0005-0000-0000-0000A0220000}"/>
    <cellStyle name="Normal 7 2 2 2 3 2 2" xfId="2354" xr:uid="{00000000-0005-0000-0000-0000A1220000}"/>
    <cellStyle name="Normal 7 2 2 2 3 2 3" xfId="3805" xr:uid="{00000000-0005-0000-0000-0000A2220000}"/>
    <cellStyle name="Normal 7 2 2 2 3 2 4" xfId="5242" xr:uid="{00000000-0005-0000-0000-0000A3220000}"/>
    <cellStyle name="Normal 7 2 2 2 3 2 5" xfId="6688" xr:uid="{00000000-0005-0000-0000-0000A4220000}"/>
    <cellStyle name="Normal 7 2 2 2 3 2 6" xfId="8128" xr:uid="{00000000-0005-0000-0000-0000A5220000}"/>
    <cellStyle name="Normal 7 2 2 2 3 2 7" xfId="9562" xr:uid="{00000000-0005-0000-0000-0000A6220000}"/>
    <cellStyle name="Normal 7 2 2 2 3 3" xfId="1417" xr:uid="{00000000-0005-0000-0000-0000A7220000}"/>
    <cellStyle name="Normal 7 2 2 2 3 3 2" xfId="2892" xr:uid="{00000000-0005-0000-0000-0000A8220000}"/>
    <cellStyle name="Normal 7 2 2 2 3 3 3" xfId="4329" xr:uid="{00000000-0005-0000-0000-0000A9220000}"/>
    <cellStyle name="Normal 7 2 2 2 3 3 4" xfId="5766" xr:uid="{00000000-0005-0000-0000-0000AA220000}"/>
    <cellStyle name="Normal 7 2 2 2 3 3 5" xfId="7212" xr:uid="{00000000-0005-0000-0000-0000AB220000}"/>
    <cellStyle name="Normal 7 2 2 2 3 3 6" xfId="8653" xr:uid="{00000000-0005-0000-0000-0000AC220000}"/>
    <cellStyle name="Normal 7 2 2 2 3 3 7" xfId="10086" xr:uid="{00000000-0005-0000-0000-0000AD220000}"/>
    <cellStyle name="Normal 7 2 2 2 3 4" xfId="1891" xr:uid="{00000000-0005-0000-0000-0000AE220000}"/>
    <cellStyle name="Normal 7 2 2 2 3 5" xfId="3348" xr:uid="{00000000-0005-0000-0000-0000AF220000}"/>
    <cellStyle name="Normal 7 2 2 2 3 6" xfId="4785" xr:uid="{00000000-0005-0000-0000-0000B0220000}"/>
    <cellStyle name="Normal 7 2 2 2 3 7" xfId="6231" xr:uid="{00000000-0005-0000-0000-0000B1220000}"/>
    <cellStyle name="Normal 7 2 2 2 3 8" xfId="7669" xr:uid="{00000000-0005-0000-0000-0000B2220000}"/>
    <cellStyle name="Normal 7 2 2 2 3 9" xfId="9106" xr:uid="{00000000-0005-0000-0000-0000B3220000}"/>
    <cellStyle name="Normal 7 2 2 2 4" xfId="520" xr:uid="{00000000-0005-0000-0000-0000B4220000}"/>
    <cellStyle name="Normal 7 2 2 2 4 2" xfId="999" xr:uid="{00000000-0005-0000-0000-0000B5220000}"/>
    <cellStyle name="Normal 7 2 2 2 4 2 2" xfId="2490" xr:uid="{00000000-0005-0000-0000-0000B6220000}"/>
    <cellStyle name="Normal 7 2 2 2 4 2 3" xfId="3937" xr:uid="{00000000-0005-0000-0000-0000B7220000}"/>
    <cellStyle name="Normal 7 2 2 2 4 2 4" xfId="5374" xr:uid="{00000000-0005-0000-0000-0000B8220000}"/>
    <cellStyle name="Normal 7 2 2 2 4 2 5" xfId="6820" xr:uid="{00000000-0005-0000-0000-0000B9220000}"/>
    <cellStyle name="Normal 7 2 2 2 4 2 6" xfId="8260" xr:uid="{00000000-0005-0000-0000-0000BA220000}"/>
    <cellStyle name="Normal 7 2 2 2 4 2 7" xfId="9694" xr:uid="{00000000-0005-0000-0000-0000BB220000}"/>
    <cellStyle name="Normal 7 2 2 2 4 3" xfId="1551" xr:uid="{00000000-0005-0000-0000-0000BC220000}"/>
    <cellStyle name="Normal 7 2 2 2 4 3 2" xfId="3024" xr:uid="{00000000-0005-0000-0000-0000BD220000}"/>
    <cellStyle name="Normal 7 2 2 2 4 3 3" xfId="4461" xr:uid="{00000000-0005-0000-0000-0000BE220000}"/>
    <cellStyle name="Normal 7 2 2 2 4 3 4" xfId="5898" xr:uid="{00000000-0005-0000-0000-0000BF220000}"/>
    <cellStyle name="Normal 7 2 2 2 4 3 5" xfId="7344" xr:uid="{00000000-0005-0000-0000-0000C0220000}"/>
    <cellStyle name="Normal 7 2 2 2 4 3 6" xfId="8785" xr:uid="{00000000-0005-0000-0000-0000C1220000}"/>
    <cellStyle name="Normal 7 2 2 2 4 3 7" xfId="10218" xr:uid="{00000000-0005-0000-0000-0000C2220000}"/>
    <cellStyle name="Normal 7 2 2 2 4 4" xfId="2023" xr:uid="{00000000-0005-0000-0000-0000C3220000}"/>
    <cellStyle name="Normal 7 2 2 2 4 5" xfId="3480" xr:uid="{00000000-0005-0000-0000-0000C4220000}"/>
    <cellStyle name="Normal 7 2 2 2 4 6" xfId="4917" xr:uid="{00000000-0005-0000-0000-0000C5220000}"/>
    <cellStyle name="Normal 7 2 2 2 4 7" xfId="6363" xr:uid="{00000000-0005-0000-0000-0000C6220000}"/>
    <cellStyle name="Normal 7 2 2 2 4 8" xfId="7801" xr:uid="{00000000-0005-0000-0000-0000C7220000}"/>
    <cellStyle name="Normal 7 2 2 2 4 9" xfId="9238" xr:uid="{00000000-0005-0000-0000-0000C8220000}"/>
    <cellStyle name="Normal 7 2 2 2 5" xfId="585" xr:uid="{00000000-0005-0000-0000-0000C9220000}"/>
    <cellStyle name="Normal 7 2 2 2 5 2" xfId="1064" xr:uid="{00000000-0005-0000-0000-0000CA220000}"/>
    <cellStyle name="Normal 7 2 2 2 5 2 2" xfId="2555" xr:uid="{00000000-0005-0000-0000-0000CB220000}"/>
    <cellStyle name="Normal 7 2 2 2 5 2 3" xfId="4002" xr:uid="{00000000-0005-0000-0000-0000CC220000}"/>
    <cellStyle name="Normal 7 2 2 2 5 2 4" xfId="5439" xr:uid="{00000000-0005-0000-0000-0000CD220000}"/>
    <cellStyle name="Normal 7 2 2 2 5 2 5" xfId="6885" xr:uid="{00000000-0005-0000-0000-0000CE220000}"/>
    <cellStyle name="Normal 7 2 2 2 5 2 6" xfId="8325" xr:uid="{00000000-0005-0000-0000-0000CF220000}"/>
    <cellStyle name="Normal 7 2 2 2 5 2 7" xfId="9759" xr:uid="{00000000-0005-0000-0000-0000D0220000}"/>
    <cellStyle name="Normal 7 2 2 2 5 3" xfId="1616" xr:uid="{00000000-0005-0000-0000-0000D1220000}"/>
    <cellStyle name="Normal 7 2 2 2 5 3 2" xfId="3089" xr:uid="{00000000-0005-0000-0000-0000D2220000}"/>
    <cellStyle name="Normal 7 2 2 2 5 3 3" xfId="4526" xr:uid="{00000000-0005-0000-0000-0000D3220000}"/>
    <cellStyle name="Normal 7 2 2 2 5 3 4" xfId="5963" xr:uid="{00000000-0005-0000-0000-0000D4220000}"/>
    <cellStyle name="Normal 7 2 2 2 5 3 5" xfId="7409" xr:uid="{00000000-0005-0000-0000-0000D5220000}"/>
    <cellStyle name="Normal 7 2 2 2 5 3 6" xfId="8850" xr:uid="{00000000-0005-0000-0000-0000D6220000}"/>
    <cellStyle name="Normal 7 2 2 2 5 3 7" xfId="10283" xr:uid="{00000000-0005-0000-0000-0000D7220000}"/>
    <cellStyle name="Normal 7 2 2 2 5 4" xfId="2088" xr:uid="{00000000-0005-0000-0000-0000D8220000}"/>
    <cellStyle name="Normal 7 2 2 2 5 5" xfId="3545" xr:uid="{00000000-0005-0000-0000-0000D9220000}"/>
    <cellStyle name="Normal 7 2 2 2 5 6" xfId="4982" xr:uid="{00000000-0005-0000-0000-0000DA220000}"/>
    <cellStyle name="Normal 7 2 2 2 5 7" xfId="6428" xr:uid="{00000000-0005-0000-0000-0000DB220000}"/>
    <cellStyle name="Normal 7 2 2 2 5 8" xfId="7866" xr:uid="{00000000-0005-0000-0000-0000DC220000}"/>
    <cellStyle name="Normal 7 2 2 2 5 9" xfId="9302" xr:uid="{00000000-0005-0000-0000-0000DD220000}"/>
    <cellStyle name="Normal 7 2 2 2 6" xfId="727" xr:uid="{00000000-0005-0000-0000-0000DE220000}"/>
    <cellStyle name="Normal 7 2 2 2 6 2" xfId="2218" xr:uid="{00000000-0005-0000-0000-0000DF220000}"/>
    <cellStyle name="Normal 7 2 2 2 6 3" xfId="3675" xr:uid="{00000000-0005-0000-0000-0000E0220000}"/>
    <cellStyle name="Normal 7 2 2 2 6 4" xfId="5112" xr:uid="{00000000-0005-0000-0000-0000E1220000}"/>
    <cellStyle name="Normal 7 2 2 2 6 5" xfId="6558" xr:uid="{00000000-0005-0000-0000-0000E2220000}"/>
    <cellStyle name="Normal 7 2 2 2 6 6" xfId="7997" xr:uid="{00000000-0005-0000-0000-0000E3220000}"/>
    <cellStyle name="Normal 7 2 2 2 6 7" xfId="9432" xr:uid="{00000000-0005-0000-0000-0000E4220000}"/>
    <cellStyle name="Normal 7 2 2 2 7" xfId="1218" xr:uid="{00000000-0005-0000-0000-0000E5220000}"/>
    <cellStyle name="Normal 7 2 2 2 7 2" xfId="2697" xr:uid="{00000000-0005-0000-0000-0000E6220000}"/>
    <cellStyle name="Normal 7 2 2 2 7 3" xfId="4134" xr:uid="{00000000-0005-0000-0000-0000E7220000}"/>
    <cellStyle name="Normal 7 2 2 2 7 4" xfId="5571" xr:uid="{00000000-0005-0000-0000-0000E8220000}"/>
    <cellStyle name="Normal 7 2 2 2 7 5" xfId="7017" xr:uid="{00000000-0005-0000-0000-0000E9220000}"/>
    <cellStyle name="Normal 7 2 2 2 7 6" xfId="8458" xr:uid="{00000000-0005-0000-0000-0000EA220000}"/>
    <cellStyle name="Normal 7 2 2 2 7 7" xfId="9891" xr:uid="{00000000-0005-0000-0000-0000EB220000}"/>
    <cellStyle name="Normal 7 2 2 2 8" xfId="1283" xr:uid="{00000000-0005-0000-0000-0000EC220000}"/>
    <cellStyle name="Normal 7 2 2 2 8 2" xfId="2762" xr:uid="{00000000-0005-0000-0000-0000ED220000}"/>
    <cellStyle name="Normal 7 2 2 2 8 3" xfId="4199" xr:uid="{00000000-0005-0000-0000-0000EE220000}"/>
    <cellStyle name="Normal 7 2 2 2 8 4" xfId="5636" xr:uid="{00000000-0005-0000-0000-0000EF220000}"/>
    <cellStyle name="Normal 7 2 2 2 8 5" xfId="7082" xr:uid="{00000000-0005-0000-0000-0000F0220000}"/>
    <cellStyle name="Normal 7 2 2 2 8 6" xfId="8523" xr:uid="{00000000-0005-0000-0000-0000F1220000}"/>
    <cellStyle name="Normal 7 2 2 2 8 7" xfId="9956" xr:uid="{00000000-0005-0000-0000-0000F2220000}"/>
    <cellStyle name="Normal 7 2 2 2 9" xfId="1761" xr:uid="{00000000-0005-0000-0000-0000F3220000}"/>
    <cellStyle name="Normal 7 2 2 3" xfId="281" xr:uid="{00000000-0005-0000-0000-0000F4220000}"/>
    <cellStyle name="Normal 7 2 2 3 10" xfId="7573" xr:uid="{00000000-0005-0000-0000-0000F5220000}"/>
    <cellStyle name="Normal 7 2 2 3 11" xfId="9012" xr:uid="{00000000-0005-0000-0000-0000F6220000}"/>
    <cellStyle name="Normal 7 2 2 3 2" xfId="419" xr:uid="{00000000-0005-0000-0000-0000F7220000}"/>
    <cellStyle name="Normal 7 2 2 3 2 2" xfId="901" xr:uid="{00000000-0005-0000-0000-0000F8220000}"/>
    <cellStyle name="Normal 7 2 2 3 2 2 2" xfId="2392" xr:uid="{00000000-0005-0000-0000-0000F9220000}"/>
    <cellStyle name="Normal 7 2 2 3 2 2 3" xfId="3839" xr:uid="{00000000-0005-0000-0000-0000FA220000}"/>
    <cellStyle name="Normal 7 2 2 3 2 2 4" xfId="5276" xr:uid="{00000000-0005-0000-0000-0000FB220000}"/>
    <cellStyle name="Normal 7 2 2 3 2 2 5" xfId="6722" xr:uid="{00000000-0005-0000-0000-0000FC220000}"/>
    <cellStyle name="Normal 7 2 2 3 2 2 6" xfId="8162" xr:uid="{00000000-0005-0000-0000-0000FD220000}"/>
    <cellStyle name="Normal 7 2 2 3 2 2 7" xfId="9596" xr:uid="{00000000-0005-0000-0000-0000FE220000}"/>
    <cellStyle name="Normal 7 2 2 3 2 3" xfId="1453" xr:uid="{00000000-0005-0000-0000-0000FF220000}"/>
    <cellStyle name="Normal 7 2 2 3 2 3 2" xfId="2926" xr:uid="{00000000-0005-0000-0000-000000230000}"/>
    <cellStyle name="Normal 7 2 2 3 2 3 3" xfId="4363" xr:uid="{00000000-0005-0000-0000-000001230000}"/>
    <cellStyle name="Normal 7 2 2 3 2 3 4" xfId="5800" xr:uid="{00000000-0005-0000-0000-000002230000}"/>
    <cellStyle name="Normal 7 2 2 3 2 3 5" xfId="7246" xr:uid="{00000000-0005-0000-0000-000003230000}"/>
    <cellStyle name="Normal 7 2 2 3 2 3 6" xfId="8687" xr:uid="{00000000-0005-0000-0000-000004230000}"/>
    <cellStyle name="Normal 7 2 2 3 2 3 7" xfId="10120" xr:uid="{00000000-0005-0000-0000-000005230000}"/>
    <cellStyle name="Normal 7 2 2 3 2 4" xfId="1925" xr:uid="{00000000-0005-0000-0000-000006230000}"/>
    <cellStyle name="Normal 7 2 2 3 2 5" xfId="3382" xr:uid="{00000000-0005-0000-0000-000007230000}"/>
    <cellStyle name="Normal 7 2 2 3 2 6" xfId="4819" xr:uid="{00000000-0005-0000-0000-000008230000}"/>
    <cellStyle name="Normal 7 2 2 3 2 7" xfId="6265" xr:uid="{00000000-0005-0000-0000-000009230000}"/>
    <cellStyle name="Normal 7 2 2 3 2 8" xfId="7703" xr:uid="{00000000-0005-0000-0000-00000A230000}"/>
    <cellStyle name="Normal 7 2 2 3 2 9" xfId="9140" xr:uid="{00000000-0005-0000-0000-00000B230000}"/>
    <cellStyle name="Normal 7 2 2 3 3" xfId="623" xr:uid="{00000000-0005-0000-0000-00000C230000}"/>
    <cellStyle name="Normal 7 2 2 3 3 2" xfId="1102" xr:uid="{00000000-0005-0000-0000-00000D230000}"/>
    <cellStyle name="Normal 7 2 2 3 3 2 2" xfId="2593" xr:uid="{00000000-0005-0000-0000-00000E230000}"/>
    <cellStyle name="Normal 7 2 2 3 3 2 3" xfId="4036" xr:uid="{00000000-0005-0000-0000-00000F230000}"/>
    <cellStyle name="Normal 7 2 2 3 3 2 4" xfId="5473" xr:uid="{00000000-0005-0000-0000-000010230000}"/>
    <cellStyle name="Normal 7 2 2 3 3 2 5" xfId="6919" xr:uid="{00000000-0005-0000-0000-000011230000}"/>
    <cellStyle name="Normal 7 2 2 3 3 2 6" xfId="8359" xr:uid="{00000000-0005-0000-0000-000012230000}"/>
    <cellStyle name="Normal 7 2 2 3 3 2 7" xfId="9793" xr:uid="{00000000-0005-0000-0000-000013230000}"/>
    <cellStyle name="Normal 7 2 2 3 3 3" xfId="1652" xr:uid="{00000000-0005-0000-0000-000014230000}"/>
    <cellStyle name="Normal 7 2 2 3 3 3 2" xfId="3123" xr:uid="{00000000-0005-0000-0000-000015230000}"/>
    <cellStyle name="Normal 7 2 2 3 3 3 3" xfId="4560" xr:uid="{00000000-0005-0000-0000-000016230000}"/>
    <cellStyle name="Normal 7 2 2 3 3 3 4" xfId="5997" xr:uid="{00000000-0005-0000-0000-000017230000}"/>
    <cellStyle name="Normal 7 2 2 3 3 3 5" xfId="7443" xr:uid="{00000000-0005-0000-0000-000018230000}"/>
    <cellStyle name="Normal 7 2 2 3 3 3 6" xfId="8884" xr:uid="{00000000-0005-0000-0000-000019230000}"/>
    <cellStyle name="Normal 7 2 2 3 3 3 7" xfId="10317" xr:uid="{00000000-0005-0000-0000-00001A230000}"/>
    <cellStyle name="Normal 7 2 2 3 3 4" xfId="2122" xr:uid="{00000000-0005-0000-0000-00001B230000}"/>
    <cellStyle name="Normal 7 2 2 3 3 5" xfId="3579" xr:uid="{00000000-0005-0000-0000-00001C230000}"/>
    <cellStyle name="Normal 7 2 2 3 3 6" xfId="5016" xr:uid="{00000000-0005-0000-0000-00001D230000}"/>
    <cellStyle name="Normal 7 2 2 3 3 7" xfId="6462" xr:uid="{00000000-0005-0000-0000-00001E230000}"/>
    <cellStyle name="Normal 7 2 2 3 3 8" xfId="7901" xr:uid="{00000000-0005-0000-0000-00001F230000}"/>
    <cellStyle name="Normal 7 2 2 3 3 9" xfId="9336" xr:uid="{00000000-0005-0000-0000-000020230000}"/>
    <cellStyle name="Normal 7 2 2 3 4" xfId="765" xr:uid="{00000000-0005-0000-0000-000021230000}"/>
    <cellStyle name="Normal 7 2 2 3 4 2" xfId="2256" xr:uid="{00000000-0005-0000-0000-000022230000}"/>
    <cellStyle name="Normal 7 2 2 3 4 3" xfId="3709" xr:uid="{00000000-0005-0000-0000-000023230000}"/>
    <cellStyle name="Normal 7 2 2 3 4 4" xfId="5146" xr:uid="{00000000-0005-0000-0000-000024230000}"/>
    <cellStyle name="Normal 7 2 2 3 4 5" xfId="6592" xr:uid="{00000000-0005-0000-0000-000025230000}"/>
    <cellStyle name="Normal 7 2 2 3 4 6" xfId="8032" xr:uid="{00000000-0005-0000-0000-000026230000}"/>
    <cellStyle name="Normal 7 2 2 3 4 7" xfId="9466" xr:uid="{00000000-0005-0000-0000-000027230000}"/>
    <cellStyle name="Normal 7 2 2 3 5" xfId="1321" xr:uid="{00000000-0005-0000-0000-000028230000}"/>
    <cellStyle name="Normal 7 2 2 3 5 2" xfId="2796" xr:uid="{00000000-0005-0000-0000-000029230000}"/>
    <cellStyle name="Normal 7 2 2 3 5 3" xfId="4233" xr:uid="{00000000-0005-0000-0000-00002A230000}"/>
    <cellStyle name="Normal 7 2 2 3 5 4" xfId="5670" xr:uid="{00000000-0005-0000-0000-00002B230000}"/>
    <cellStyle name="Normal 7 2 2 3 5 5" xfId="7116" xr:uid="{00000000-0005-0000-0000-00002C230000}"/>
    <cellStyle name="Normal 7 2 2 3 5 6" xfId="8557" xr:uid="{00000000-0005-0000-0000-00002D230000}"/>
    <cellStyle name="Normal 7 2 2 3 5 7" xfId="9990" xr:uid="{00000000-0005-0000-0000-00002E230000}"/>
    <cellStyle name="Normal 7 2 2 3 6" xfId="1795" xr:uid="{00000000-0005-0000-0000-00002F230000}"/>
    <cellStyle name="Normal 7 2 2 3 7" xfId="3252" xr:uid="{00000000-0005-0000-0000-000030230000}"/>
    <cellStyle name="Normal 7 2 2 3 8" xfId="4689" xr:uid="{00000000-0005-0000-0000-000031230000}"/>
    <cellStyle name="Normal 7 2 2 3 9" xfId="6135" xr:uid="{00000000-0005-0000-0000-000032230000}"/>
    <cellStyle name="Normal 7 2 2 4" xfId="350" xr:uid="{00000000-0005-0000-0000-000033230000}"/>
    <cellStyle name="Normal 7 2 2 4 2" xfId="832" xr:uid="{00000000-0005-0000-0000-000034230000}"/>
    <cellStyle name="Normal 7 2 2 4 2 2" xfId="2323" xr:uid="{00000000-0005-0000-0000-000035230000}"/>
    <cellStyle name="Normal 7 2 2 4 2 3" xfId="3774" xr:uid="{00000000-0005-0000-0000-000036230000}"/>
    <cellStyle name="Normal 7 2 2 4 2 4" xfId="5211" xr:uid="{00000000-0005-0000-0000-000037230000}"/>
    <cellStyle name="Normal 7 2 2 4 2 5" xfId="6657" xr:uid="{00000000-0005-0000-0000-000038230000}"/>
    <cellStyle name="Normal 7 2 2 4 2 6" xfId="8097" xr:uid="{00000000-0005-0000-0000-000039230000}"/>
    <cellStyle name="Normal 7 2 2 4 2 7" xfId="9531" xr:uid="{00000000-0005-0000-0000-00003A230000}"/>
    <cellStyle name="Normal 7 2 2 4 3" xfId="1386" xr:uid="{00000000-0005-0000-0000-00003B230000}"/>
    <cellStyle name="Normal 7 2 2 4 3 2" xfId="2861" xr:uid="{00000000-0005-0000-0000-00003C230000}"/>
    <cellStyle name="Normal 7 2 2 4 3 3" xfId="4298" xr:uid="{00000000-0005-0000-0000-00003D230000}"/>
    <cellStyle name="Normal 7 2 2 4 3 4" xfId="5735" xr:uid="{00000000-0005-0000-0000-00003E230000}"/>
    <cellStyle name="Normal 7 2 2 4 3 5" xfId="7181" xr:uid="{00000000-0005-0000-0000-00003F230000}"/>
    <cellStyle name="Normal 7 2 2 4 3 6" xfId="8622" xr:uid="{00000000-0005-0000-0000-000040230000}"/>
    <cellStyle name="Normal 7 2 2 4 3 7" xfId="10055" xr:uid="{00000000-0005-0000-0000-000041230000}"/>
    <cellStyle name="Normal 7 2 2 4 4" xfId="1860" xr:uid="{00000000-0005-0000-0000-000042230000}"/>
    <cellStyle name="Normal 7 2 2 4 5" xfId="3317" xr:uid="{00000000-0005-0000-0000-000043230000}"/>
    <cellStyle name="Normal 7 2 2 4 6" xfId="4754" xr:uid="{00000000-0005-0000-0000-000044230000}"/>
    <cellStyle name="Normal 7 2 2 4 7" xfId="6200" xr:uid="{00000000-0005-0000-0000-000045230000}"/>
    <cellStyle name="Normal 7 2 2 4 8" xfId="7638" xr:uid="{00000000-0005-0000-0000-000046230000}"/>
    <cellStyle name="Normal 7 2 2 4 9" xfId="9075" xr:uid="{00000000-0005-0000-0000-000047230000}"/>
    <cellStyle name="Normal 7 2 2 5" xfId="489" xr:uid="{00000000-0005-0000-0000-000048230000}"/>
    <cellStyle name="Normal 7 2 2 5 2" xfId="968" xr:uid="{00000000-0005-0000-0000-000049230000}"/>
    <cellStyle name="Normal 7 2 2 5 2 2" xfId="2459" xr:uid="{00000000-0005-0000-0000-00004A230000}"/>
    <cellStyle name="Normal 7 2 2 5 2 3" xfId="3906" xr:uid="{00000000-0005-0000-0000-00004B230000}"/>
    <cellStyle name="Normal 7 2 2 5 2 4" xfId="5343" xr:uid="{00000000-0005-0000-0000-00004C230000}"/>
    <cellStyle name="Normal 7 2 2 5 2 5" xfId="6789" xr:uid="{00000000-0005-0000-0000-00004D230000}"/>
    <cellStyle name="Normal 7 2 2 5 2 6" xfId="8229" xr:uid="{00000000-0005-0000-0000-00004E230000}"/>
    <cellStyle name="Normal 7 2 2 5 2 7" xfId="9663" xr:uid="{00000000-0005-0000-0000-00004F230000}"/>
    <cellStyle name="Normal 7 2 2 5 3" xfId="1520" xr:uid="{00000000-0005-0000-0000-000050230000}"/>
    <cellStyle name="Normal 7 2 2 5 3 2" xfId="2993" xr:uid="{00000000-0005-0000-0000-000051230000}"/>
    <cellStyle name="Normal 7 2 2 5 3 3" xfId="4430" xr:uid="{00000000-0005-0000-0000-000052230000}"/>
    <cellStyle name="Normal 7 2 2 5 3 4" xfId="5867" xr:uid="{00000000-0005-0000-0000-000053230000}"/>
    <cellStyle name="Normal 7 2 2 5 3 5" xfId="7313" xr:uid="{00000000-0005-0000-0000-000054230000}"/>
    <cellStyle name="Normal 7 2 2 5 3 6" xfId="8754" xr:uid="{00000000-0005-0000-0000-000055230000}"/>
    <cellStyle name="Normal 7 2 2 5 3 7" xfId="10187" xr:uid="{00000000-0005-0000-0000-000056230000}"/>
    <cellStyle name="Normal 7 2 2 5 4" xfId="1992" xr:uid="{00000000-0005-0000-0000-000057230000}"/>
    <cellStyle name="Normal 7 2 2 5 5" xfId="3449" xr:uid="{00000000-0005-0000-0000-000058230000}"/>
    <cellStyle name="Normal 7 2 2 5 6" xfId="4886" xr:uid="{00000000-0005-0000-0000-000059230000}"/>
    <cellStyle name="Normal 7 2 2 5 7" xfId="6332" xr:uid="{00000000-0005-0000-0000-00005A230000}"/>
    <cellStyle name="Normal 7 2 2 5 8" xfId="7770" xr:uid="{00000000-0005-0000-0000-00005B230000}"/>
    <cellStyle name="Normal 7 2 2 5 9" xfId="9207" xr:uid="{00000000-0005-0000-0000-00005C230000}"/>
    <cellStyle name="Normal 7 2 2 6" xfId="554" xr:uid="{00000000-0005-0000-0000-00005D230000}"/>
    <cellStyle name="Normal 7 2 2 6 2" xfId="1033" xr:uid="{00000000-0005-0000-0000-00005E230000}"/>
    <cellStyle name="Normal 7 2 2 6 2 2" xfId="2524" xr:uid="{00000000-0005-0000-0000-00005F230000}"/>
    <cellStyle name="Normal 7 2 2 6 2 3" xfId="3971" xr:uid="{00000000-0005-0000-0000-000060230000}"/>
    <cellStyle name="Normal 7 2 2 6 2 4" xfId="5408" xr:uid="{00000000-0005-0000-0000-000061230000}"/>
    <cellStyle name="Normal 7 2 2 6 2 5" xfId="6854" xr:uid="{00000000-0005-0000-0000-000062230000}"/>
    <cellStyle name="Normal 7 2 2 6 2 6" xfId="8294" xr:uid="{00000000-0005-0000-0000-000063230000}"/>
    <cellStyle name="Normal 7 2 2 6 2 7" xfId="9728" xr:uid="{00000000-0005-0000-0000-000064230000}"/>
    <cellStyle name="Normal 7 2 2 6 3" xfId="1585" xr:uid="{00000000-0005-0000-0000-000065230000}"/>
    <cellStyle name="Normal 7 2 2 6 3 2" xfId="3058" xr:uid="{00000000-0005-0000-0000-000066230000}"/>
    <cellStyle name="Normal 7 2 2 6 3 3" xfId="4495" xr:uid="{00000000-0005-0000-0000-000067230000}"/>
    <cellStyle name="Normal 7 2 2 6 3 4" xfId="5932" xr:uid="{00000000-0005-0000-0000-000068230000}"/>
    <cellStyle name="Normal 7 2 2 6 3 5" xfId="7378" xr:uid="{00000000-0005-0000-0000-000069230000}"/>
    <cellStyle name="Normal 7 2 2 6 3 6" xfId="8819" xr:uid="{00000000-0005-0000-0000-00006A230000}"/>
    <cellStyle name="Normal 7 2 2 6 3 7" xfId="10252" xr:uid="{00000000-0005-0000-0000-00006B230000}"/>
    <cellStyle name="Normal 7 2 2 6 4" xfId="2057" xr:uid="{00000000-0005-0000-0000-00006C230000}"/>
    <cellStyle name="Normal 7 2 2 6 5" xfId="3514" xr:uid="{00000000-0005-0000-0000-00006D230000}"/>
    <cellStyle name="Normal 7 2 2 6 6" xfId="4951" xr:uid="{00000000-0005-0000-0000-00006E230000}"/>
    <cellStyle name="Normal 7 2 2 6 7" xfId="6397" xr:uid="{00000000-0005-0000-0000-00006F230000}"/>
    <cellStyle name="Normal 7 2 2 6 8" xfId="7835" xr:uid="{00000000-0005-0000-0000-000070230000}"/>
    <cellStyle name="Normal 7 2 2 6 9" xfId="9271" xr:uid="{00000000-0005-0000-0000-000071230000}"/>
    <cellStyle name="Normal 7 2 2 7" xfId="696" xr:uid="{00000000-0005-0000-0000-000072230000}"/>
    <cellStyle name="Normal 7 2 2 7 2" xfId="2187" xr:uid="{00000000-0005-0000-0000-000073230000}"/>
    <cellStyle name="Normal 7 2 2 7 3" xfId="3644" xr:uid="{00000000-0005-0000-0000-000074230000}"/>
    <cellStyle name="Normal 7 2 2 7 4" xfId="5081" xr:uid="{00000000-0005-0000-0000-000075230000}"/>
    <cellStyle name="Normal 7 2 2 7 5" xfId="6527" xr:uid="{00000000-0005-0000-0000-000076230000}"/>
    <cellStyle name="Normal 7 2 2 7 6" xfId="7966" xr:uid="{00000000-0005-0000-0000-000077230000}"/>
    <cellStyle name="Normal 7 2 2 7 7" xfId="9401" xr:uid="{00000000-0005-0000-0000-000078230000}"/>
    <cellStyle name="Normal 7 2 2 8" xfId="1187" xr:uid="{00000000-0005-0000-0000-000079230000}"/>
    <cellStyle name="Normal 7 2 2 8 2" xfId="2666" xr:uid="{00000000-0005-0000-0000-00007A230000}"/>
    <cellStyle name="Normal 7 2 2 8 3" xfId="4103" xr:uid="{00000000-0005-0000-0000-00007B230000}"/>
    <cellStyle name="Normal 7 2 2 8 4" xfId="5540" xr:uid="{00000000-0005-0000-0000-00007C230000}"/>
    <cellStyle name="Normal 7 2 2 8 5" xfId="6986" xr:uid="{00000000-0005-0000-0000-00007D230000}"/>
    <cellStyle name="Normal 7 2 2 8 6" xfId="8427" xr:uid="{00000000-0005-0000-0000-00007E230000}"/>
    <cellStyle name="Normal 7 2 2 8 7" xfId="9860" xr:uid="{00000000-0005-0000-0000-00007F230000}"/>
    <cellStyle name="Normal 7 2 2 9" xfId="1252" xr:uid="{00000000-0005-0000-0000-000080230000}"/>
    <cellStyle name="Normal 7 2 2 9 2" xfId="2731" xr:uid="{00000000-0005-0000-0000-000081230000}"/>
    <cellStyle name="Normal 7 2 2 9 3" xfId="4168" xr:uid="{00000000-0005-0000-0000-000082230000}"/>
    <cellStyle name="Normal 7 2 2 9 4" xfId="5605" xr:uid="{00000000-0005-0000-0000-000083230000}"/>
    <cellStyle name="Normal 7 2 2 9 5" xfId="7051" xr:uid="{00000000-0005-0000-0000-000084230000}"/>
    <cellStyle name="Normal 7 2 2 9 6" xfId="8492" xr:uid="{00000000-0005-0000-0000-000085230000}"/>
    <cellStyle name="Normal 7 2 2 9 7" xfId="9925" xr:uid="{00000000-0005-0000-0000-000086230000}"/>
    <cellStyle name="Normal 7 2 3" xfId="228" xr:uid="{00000000-0005-0000-0000-000087230000}"/>
    <cellStyle name="Normal 7 2 3 10" xfId="3203" xr:uid="{00000000-0005-0000-0000-000088230000}"/>
    <cellStyle name="Normal 7 2 3 11" xfId="4640" xr:uid="{00000000-0005-0000-0000-000089230000}"/>
    <cellStyle name="Normal 7 2 3 12" xfId="6086" xr:uid="{00000000-0005-0000-0000-00008A230000}"/>
    <cellStyle name="Normal 7 2 3 13" xfId="7524" xr:uid="{00000000-0005-0000-0000-00008B230000}"/>
    <cellStyle name="Normal 7 2 3 14" xfId="8964" xr:uid="{00000000-0005-0000-0000-00008C230000}"/>
    <cellStyle name="Normal 7 2 3 2" xfId="297" xr:uid="{00000000-0005-0000-0000-00008D230000}"/>
    <cellStyle name="Normal 7 2 3 2 10" xfId="7589" xr:uid="{00000000-0005-0000-0000-00008E230000}"/>
    <cellStyle name="Normal 7 2 3 2 11" xfId="9028" xr:uid="{00000000-0005-0000-0000-00008F230000}"/>
    <cellStyle name="Normal 7 2 3 2 2" xfId="435" xr:uid="{00000000-0005-0000-0000-000090230000}"/>
    <cellStyle name="Normal 7 2 3 2 2 2" xfId="917" xr:uid="{00000000-0005-0000-0000-000091230000}"/>
    <cellStyle name="Normal 7 2 3 2 2 2 2" xfId="2408" xr:uid="{00000000-0005-0000-0000-000092230000}"/>
    <cellStyle name="Normal 7 2 3 2 2 2 3" xfId="3855" xr:uid="{00000000-0005-0000-0000-000093230000}"/>
    <cellStyle name="Normal 7 2 3 2 2 2 4" xfId="5292" xr:uid="{00000000-0005-0000-0000-000094230000}"/>
    <cellStyle name="Normal 7 2 3 2 2 2 5" xfId="6738" xr:uid="{00000000-0005-0000-0000-000095230000}"/>
    <cellStyle name="Normal 7 2 3 2 2 2 6" xfId="8178" xr:uid="{00000000-0005-0000-0000-000096230000}"/>
    <cellStyle name="Normal 7 2 3 2 2 2 7" xfId="9612" xr:uid="{00000000-0005-0000-0000-000097230000}"/>
    <cellStyle name="Normal 7 2 3 2 2 3" xfId="1469" xr:uid="{00000000-0005-0000-0000-000098230000}"/>
    <cellStyle name="Normal 7 2 3 2 2 3 2" xfId="2942" xr:uid="{00000000-0005-0000-0000-000099230000}"/>
    <cellStyle name="Normal 7 2 3 2 2 3 3" xfId="4379" xr:uid="{00000000-0005-0000-0000-00009A230000}"/>
    <cellStyle name="Normal 7 2 3 2 2 3 4" xfId="5816" xr:uid="{00000000-0005-0000-0000-00009B230000}"/>
    <cellStyle name="Normal 7 2 3 2 2 3 5" xfId="7262" xr:uid="{00000000-0005-0000-0000-00009C230000}"/>
    <cellStyle name="Normal 7 2 3 2 2 3 6" xfId="8703" xr:uid="{00000000-0005-0000-0000-00009D230000}"/>
    <cellStyle name="Normal 7 2 3 2 2 3 7" xfId="10136" xr:uid="{00000000-0005-0000-0000-00009E230000}"/>
    <cellStyle name="Normal 7 2 3 2 2 4" xfId="1941" xr:uid="{00000000-0005-0000-0000-00009F230000}"/>
    <cellStyle name="Normal 7 2 3 2 2 5" xfId="3398" xr:uid="{00000000-0005-0000-0000-0000A0230000}"/>
    <cellStyle name="Normal 7 2 3 2 2 6" xfId="4835" xr:uid="{00000000-0005-0000-0000-0000A1230000}"/>
    <cellStyle name="Normal 7 2 3 2 2 7" xfId="6281" xr:uid="{00000000-0005-0000-0000-0000A2230000}"/>
    <cellStyle name="Normal 7 2 3 2 2 8" xfId="7719" xr:uid="{00000000-0005-0000-0000-0000A3230000}"/>
    <cellStyle name="Normal 7 2 3 2 2 9" xfId="9156" xr:uid="{00000000-0005-0000-0000-0000A4230000}"/>
    <cellStyle name="Normal 7 2 3 2 3" xfId="639" xr:uid="{00000000-0005-0000-0000-0000A5230000}"/>
    <cellStyle name="Normal 7 2 3 2 3 2" xfId="1118" xr:uid="{00000000-0005-0000-0000-0000A6230000}"/>
    <cellStyle name="Normal 7 2 3 2 3 2 2" xfId="2609" xr:uid="{00000000-0005-0000-0000-0000A7230000}"/>
    <cellStyle name="Normal 7 2 3 2 3 2 3" xfId="4052" xr:uid="{00000000-0005-0000-0000-0000A8230000}"/>
    <cellStyle name="Normal 7 2 3 2 3 2 4" xfId="5489" xr:uid="{00000000-0005-0000-0000-0000A9230000}"/>
    <cellStyle name="Normal 7 2 3 2 3 2 5" xfId="6935" xr:uid="{00000000-0005-0000-0000-0000AA230000}"/>
    <cellStyle name="Normal 7 2 3 2 3 2 6" xfId="8375" xr:uid="{00000000-0005-0000-0000-0000AB230000}"/>
    <cellStyle name="Normal 7 2 3 2 3 2 7" xfId="9809" xr:uid="{00000000-0005-0000-0000-0000AC230000}"/>
    <cellStyle name="Normal 7 2 3 2 3 3" xfId="1668" xr:uid="{00000000-0005-0000-0000-0000AD230000}"/>
    <cellStyle name="Normal 7 2 3 2 3 3 2" xfId="3139" xr:uid="{00000000-0005-0000-0000-0000AE230000}"/>
    <cellStyle name="Normal 7 2 3 2 3 3 3" xfId="4576" xr:uid="{00000000-0005-0000-0000-0000AF230000}"/>
    <cellStyle name="Normal 7 2 3 2 3 3 4" xfId="6013" xr:uid="{00000000-0005-0000-0000-0000B0230000}"/>
    <cellStyle name="Normal 7 2 3 2 3 3 5" xfId="7459" xr:uid="{00000000-0005-0000-0000-0000B1230000}"/>
    <cellStyle name="Normal 7 2 3 2 3 3 6" xfId="8900" xr:uid="{00000000-0005-0000-0000-0000B2230000}"/>
    <cellStyle name="Normal 7 2 3 2 3 3 7" xfId="10333" xr:uid="{00000000-0005-0000-0000-0000B3230000}"/>
    <cellStyle name="Normal 7 2 3 2 3 4" xfId="2138" xr:uid="{00000000-0005-0000-0000-0000B4230000}"/>
    <cellStyle name="Normal 7 2 3 2 3 5" xfId="3595" xr:uid="{00000000-0005-0000-0000-0000B5230000}"/>
    <cellStyle name="Normal 7 2 3 2 3 6" xfId="5032" xr:uid="{00000000-0005-0000-0000-0000B6230000}"/>
    <cellStyle name="Normal 7 2 3 2 3 7" xfId="6478" xr:uid="{00000000-0005-0000-0000-0000B7230000}"/>
    <cellStyle name="Normal 7 2 3 2 3 8" xfId="7917" xr:uid="{00000000-0005-0000-0000-0000B8230000}"/>
    <cellStyle name="Normal 7 2 3 2 3 9" xfId="9352" xr:uid="{00000000-0005-0000-0000-0000B9230000}"/>
    <cellStyle name="Normal 7 2 3 2 4" xfId="781" xr:uid="{00000000-0005-0000-0000-0000BA230000}"/>
    <cellStyle name="Normal 7 2 3 2 4 2" xfId="2272" xr:uid="{00000000-0005-0000-0000-0000BB230000}"/>
    <cellStyle name="Normal 7 2 3 2 4 3" xfId="3725" xr:uid="{00000000-0005-0000-0000-0000BC230000}"/>
    <cellStyle name="Normal 7 2 3 2 4 4" xfId="5162" xr:uid="{00000000-0005-0000-0000-0000BD230000}"/>
    <cellStyle name="Normal 7 2 3 2 4 5" xfId="6608" xr:uid="{00000000-0005-0000-0000-0000BE230000}"/>
    <cellStyle name="Normal 7 2 3 2 4 6" xfId="8048" xr:uid="{00000000-0005-0000-0000-0000BF230000}"/>
    <cellStyle name="Normal 7 2 3 2 4 7" xfId="9482" xr:uid="{00000000-0005-0000-0000-0000C0230000}"/>
    <cellStyle name="Normal 7 2 3 2 5" xfId="1337" xr:uid="{00000000-0005-0000-0000-0000C1230000}"/>
    <cellStyle name="Normal 7 2 3 2 5 2" xfId="2812" xr:uid="{00000000-0005-0000-0000-0000C2230000}"/>
    <cellStyle name="Normal 7 2 3 2 5 3" xfId="4249" xr:uid="{00000000-0005-0000-0000-0000C3230000}"/>
    <cellStyle name="Normal 7 2 3 2 5 4" xfId="5686" xr:uid="{00000000-0005-0000-0000-0000C4230000}"/>
    <cellStyle name="Normal 7 2 3 2 5 5" xfId="7132" xr:uid="{00000000-0005-0000-0000-0000C5230000}"/>
    <cellStyle name="Normal 7 2 3 2 5 6" xfId="8573" xr:uid="{00000000-0005-0000-0000-0000C6230000}"/>
    <cellStyle name="Normal 7 2 3 2 5 7" xfId="10006" xr:uid="{00000000-0005-0000-0000-0000C7230000}"/>
    <cellStyle name="Normal 7 2 3 2 6" xfId="1811" xr:uid="{00000000-0005-0000-0000-0000C8230000}"/>
    <cellStyle name="Normal 7 2 3 2 7" xfId="3268" xr:uid="{00000000-0005-0000-0000-0000C9230000}"/>
    <cellStyle name="Normal 7 2 3 2 8" xfId="4705" xr:uid="{00000000-0005-0000-0000-0000CA230000}"/>
    <cellStyle name="Normal 7 2 3 2 9" xfId="6151" xr:uid="{00000000-0005-0000-0000-0000CB230000}"/>
    <cellStyle name="Normal 7 2 3 3" xfId="366" xr:uid="{00000000-0005-0000-0000-0000CC230000}"/>
    <cellStyle name="Normal 7 2 3 3 2" xfId="848" xr:uid="{00000000-0005-0000-0000-0000CD230000}"/>
    <cellStyle name="Normal 7 2 3 3 2 2" xfId="2339" xr:uid="{00000000-0005-0000-0000-0000CE230000}"/>
    <cellStyle name="Normal 7 2 3 3 2 3" xfId="3790" xr:uid="{00000000-0005-0000-0000-0000CF230000}"/>
    <cellStyle name="Normal 7 2 3 3 2 4" xfId="5227" xr:uid="{00000000-0005-0000-0000-0000D0230000}"/>
    <cellStyle name="Normal 7 2 3 3 2 5" xfId="6673" xr:uid="{00000000-0005-0000-0000-0000D1230000}"/>
    <cellStyle name="Normal 7 2 3 3 2 6" xfId="8113" xr:uid="{00000000-0005-0000-0000-0000D2230000}"/>
    <cellStyle name="Normal 7 2 3 3 2 7" xfId="9547" xr:uid="{00000000-0005-0000-0000-0000D3230000}"/>
    <cellStyle name="Normal 7 2 3 3 3" xfId="1402" xr:uid="{00000000-0005-0000-0000-0000D4230000}"/>
    <cellStyle name="Normal 7 2 3 3 3 2" xfId="2877" xr:uid="{00000000-0005-0000-0000-0000D5230000}"/>
    <cellStyle name="Normal 7 2 3 3 3 3" xfId="4314" xr:uid="{00000000-0005-0000-0000-0000D6230000}"/>
    <cellStyle name="Normal 7 2 3 3 3 4" xfId="5751" xr:uid="{00000000-0005-0000-0000-0000D7230000}"/>
    <cellStyle name="Normal 7 2 3 3 3 5" xfId="7197" xr:uid="{00000000-0005-0000-0000-0000D8230000}"/>
    <cellStyle name="Normal 7 2 3 3 3 6" xfId="8638" xr:uid="{00000000-0005-0000-0000-0000D9230000}"/>
    <cellStyle name="Normal 7 2 3 3 3 7" xfId="10071" xr:uid="{00000000-0005-0000-0000-0000DA230000}"/>
    <cellStyle name="Normal 7 2 3 3 4" xfId="1876" xr:uid="{00000000-0005-0000-0000-0000DB230000}"/>
    <cellStyle name="Normal 7 2 3 3 5" xfId="3333" xr:uid="{00000000-0005-0000-0000-0000DC230000}"/>
    <cellStyle name="Normal 7 2 3 3 6" xfId="4770" xr:uid="{00000000-0005-0000-0000-0000DD230000}"/>
    <cellStyle name="Normal 7 2 3 3 7" xfId="6216" xr:uid="{00000000-0005-0000-0000-0000DE230000}"/>
    <cellStyle name="Normal 7 2 3 3 8" xfId="7654" xr:uid="{00000000-0005-0000-0000-0000DF230000}"/>
    <cellStyle name="Normal 7 2 3 3 9" xfId="9091" xr:uid="{00000000-0005-0000-0000-0000E0230000}"/>
    <cellStyle name="Normal 7 2 3 4" xfId="505" xr:uid="{00000000-0005-0000-0000-0000E1230000}"/>
    <cellStyle name="Normal 7 2 3 4 2" xfId="984" xr:uid="{00000000-0005-0000-0000-0000E2230000}"/>
    <cellStyle name="Normal 7 2 3 4 2 2" xfId="2475" xr:uid="{00000000-0005-0000-0000-0000E3230000}"/>
    <cellStyle name="Normal 7 2 3 4 2 3" xfId="3922" xr:uid="{00000000-0005-0000-0000-0000E4230000}"/>
    <cellStyle name="Normal 7 2 3 4 2 4" xfId="5359" xr:uid="{00000000-0005-0000-0000-0000E5230000}"/>
    <cellStyle name="Normal 7 2 3 4 2 5" xfId="6805" xr:uid="{00000000-0005-0000-0000-0000E6230000}"/>
    <cellStyle name="Normal 7 2 3 4 2 6" xfId="8245" xr:uid="{00000000-0005-0000-0000-0000E7230000}"/>
    <cellStyle name="Normal 7 2 3 4 2 7" xfId="9679" xr:uid="{00000000-0005-0000-0000-0000E8230000}"/>
    <cellStyle name="Normal 7 2 3 4 3" xfId="1536" xr:uid="{00000000-0005-0000-0000-0000E9230000}"/>
    <cellStyle name="Normal 7 2 3 4 3 2" xfId="3009" xr:uid="{00000000-0005-0000-0000-0000EA230000}"/>
    <cellStyle name="Normal 7 2 3 4 3 3" xfId="4446" xr:uid="{00000000-0005-0000-0000-0000EB230000}"/>
    <cellStyle name="Normal 7 2 3 4 3 4" xfId="5883" xr:uid="{00000000-0005-0000-0000-0000EC230000}"/>
    <cellStyle name="Normal 7 2 3 4 3 5" xfId="7329" xr:uid="{00000000-0005-0000-0000-0000ED230000}"/>
    <cellStyle name="Normal 7 2 3 4 3 6" xfId="8770" xr:uid="{00000000-0005-0000-0000-0000EE230000}"/>
    <cellStyle name="Normal 7 2 3 4 3 7" xfId="10203" xr:uid="{00000000-0005-0000-0000-0000EF230000}"/>
    <cellStyle name="Normal 7 2 3 4 4" xfId="2008" xr:uid="{00000000-0005-0000-0000-0000F0230000}"/>
    <cellStyle name="Normal 7 2 3 4 5" xfId="3465" xr:uid="{00000000-0005-0000-0000-0000F1230000}"/>
    <cellStyle name="Normal 7 2 3 4 6" xfId="4902" xr:uid="{00000000-0005-0000-0000-0000F2230000}"/>
    <cellStyle name="Normal 7 2 3 4 7" xfId="6348" xr:uid="{00000000-0005-0000-0000-0000F3230000}"/>
    <cellStyle name="Normal 7 2 3 4 8" xfId="7786" xr:uid="{00000000-0005-0000-0000-0000F4230000}"/>
    <cellStyle name="Normal 7 2 3 4 9" xfId="9223" xr:uid="{00000000-0005-0000-0000-0000F5230000}"/>
    <cellStyle name="Normal 7 2 3 5" xfId="570" xr:uid="{00000000-0005-0000-0000-0000F6230000}"/>
    <cellStyle name="Normal 7 2 3 5 2" xfId="1049" xr:uid="{00000000-0005-0000-0000-0000F7230000}"/>
    <cellStyle name="Normal 7 2 3 5 2 2" xfId="2540" xr:uid="{00000000-0005-0000-0000-0000F8230000}"/>
    <cellStyle name="Normal 7 2 3 5 2 3" xfId="3987" xr:uid="{00000000-0005-0000-0000-0000F9230000}"/>
    <cellStyle name="Normal 7 2 3 5 2 4" xfId="5424" xr:uid="{00000000-0005-0000-0000-0000FA230000}"/>
    <cellStyle name="Normal 7 2 3 5 2 5" xfId="6870" xr:uid="{00000000-0005-0000-0000-0000FB230000}"/>
    <cellStyle name="Normal 7 2 3 5 2 6" xfId="8310" xr:uid="{00000000-0005-0000-0000-0000FC230000}"/>
    <cellStyle name="Normal 7 2 3 5 2 7" xfId="9744" xr:uid="{00000000-0005-0000-0000-0000FD230000}"/>
    <cellStyle name="Normal 7 2 3 5 3" xfId="1601" xr:uid="{00000000-0005-0000-0000-0000FE230000}"/>
    <cellStyle name="Normal 7 2 3 5 3 2" xfId="3074" xr:uid="{00000000-0005-0000-0000-0000FF230000}"/>
    <cellStyle name="Normal 7 2 3 5 3 3" xfId="4511" xr:uid="{00000000-0005-0000-0000-000000240000}"/>
    <cellStyle name="Normal 7 2 3 5 3 4" xfId="5948" xr:uid="{00000000-0005-0000-0000-000001240000}"/>
    <cellStyle name="Normal 7 2 3 5 3 5" xfId="7394" xr:uid="{00000000-0005-0000-0000-000002240000}"/>
    <cellStyle name="Normal 7 2 3 5 3 6" xfId="8835" xr:uid="{00000000-0005-0000-0000-000003240000}"/>
    <cellStyle name="Normal 7 2 3 5 3 7" xfId="10268" xr:uid="{00000000-0005-0000-0000-000004240000}"/>
    <cellStyle name="Normal 7 2 3 5 4" xfId="2073" xr:uid="{00000000-0005-0000-0000-000005240000}"/>
    <cellStyle name="Normal 7 2 3 5 5" xfId="3530" xr:uid="{00000000-0005-0000-0000-000006240000}"/>
    <cellStyle name="Normal 7 2 3 5 6" xfId="4967" xr:uid="{00000000-0005-0000-0000-000007240000}"/>
    <cellStyle name="Normal 7 2 3 5 7" xfId="6413" xr:uid="{00000000-0005-0000-0000-000008240000}"/>
    <cellStyle name="Normal 7 2 3 5 8" xfId="7851" xr:uid="{00000000-0005-0000-0000-000009240000}"/>
    <cellStyle name="Normal 7 2 3 5 9" xfId="9287" xr:uid="{00000000-0005-0000-0000-00000A240000}"/>
    <cellStyle name="Normal 7 2 3 6" xfId="712" xr:uid="{00000000-0005-0000-0000-00000B240000}"/>
    <cellStyle name="Normal 7 2 3 6 2" xfId="2203" xr:uid="{00000000-0005-0000-0000-00000C240000}"/>
    <cellStyle name="Normal 7 2 3 6 3" xfId="3660" xr:uid="{00000000-0005-0000-0000-00000D240000}"/>
    <cellStyle name="Normal 7 2 3 6 4" xfId="5097" xr:uid="{00000000-0005-0000-0000-00000E240000}"/>
    <cellStyle name="Normal 7 2 3 6 5" xfId="6543" xr:uid="{00000000-0005-0000-0000-00000F240000}"/>
    <cellStyle name="Normal 7 2 3 6 6" xfId="7982" xr:uid="{00000000-0005-0000-0000-000010240000}"/>
    <cellStyle name="Normal 7 2 3 6 7" xfId="9417" xr:uid="{00000000-0005-0000-0000-000011240000}"/>
    <cellStyle name="Normal 7 2 3 7" xfId="1203" xr:uid="{00000000-0005-0000-0000-000012240000}"/>
    <cellStyle name="Normal 7 2 3 7 2" xfId="2682" xr:uid="{00000000-0005-0000-0000-000013240000}"/>
    <cellStyle name="Normal 7 2 3 7 3" xfId="4119" xr:uid="{00000000-0005-0000-0000-000014240000}"/>
    <cellStyle name="Normal 7 2 3 7 4" xfId="5556" xr:uid="{00000000-0005-0000-0000-000015240000}"/>
    <cellStyle name="Normal 7 2 3 7 5" xfId="7002" xr:uid="{00000000-0005-0000-0000-000016240000}"/>
    <cellStyle name="Normal 7 2 3 7 6" xfId="8443" xr:uid="{00000000-0005-0000-0000-000017240000}"/>
    <cellStyle name="Normal 7 2 3 7 7" xfId="9876" xr:uid="{00000000-0005-0000-0000-000018240000}"/>
    <cellStyle name="Normal 7 2 3 8" xfId="1268" xr:uid="{00000000-0005-0000-0000-000019240000}"/>
    <cellStyle name="Normal 7 2 3 8 2" xfId="2747" xr:uid="{00000000-0005-0000-0000-00001A240000}"/>
    <cellStyle name="Normal 7 2 3 8 3" xfId="4184" xr:uid="{00000000-0005-0000-0000-00001B240000}"/>
    <cellStyle name="Normal 7 2 3 8 4" xfId="5621" xr:uid="{00000000-0005-0000-0000-00001C240000}"/>
    <cellStyle name="Normal 7 2 3 8 5" xfId="7067" xr:uid="{00000000-0005-0000-0000-00001D240000}"/>
    <cellStyle name="Normal 7 2 3 8 6" xfId="8508" xr:uid="{00000000-0005-0000-0000-00001E240000}"/>
    <cellStyle name="Normal 7 2 3 8 7" xfId="9941" xr:uid="{00000000-0005-0000-0000-00001F240000}"/>
    <cellStyle name="Normal 7 2 3 9" xfId="1746" xr:uid="{00000000-0005-0000-0000-000020240000}"/>
    <cellStyle name="Normal 7 2 4" xfId="265" xr:uid="{00000000-0005-0000-0000-000021240000}"/>
    <cellStyle name="Normal 7 2 4 10" xfId="7555" xr:uid="{00000000-0005-0000-0000-000022240000}"/>
    <cellStyle name="Normal 7 2 4 11" xfId="8994" xr:uid="{00000000-0005-0000-0000-000023240000}"/>
    <cellStyle name="Normal 7 2 4 2" xfId="401" xr:uid="{00000000-0005-0000-0000-000024240000}"/>
    <cellStyle name="Normal 7 2 4 2 2" xfId="883" xr:uid="{00000000-0005-0000-0000-000025240000}"/>
    <cellStyle name="Normal 7 2 4 2 2 2" xfId="2374" xr:uid="{00000000-0005-0000-0000-000026240000}"/>
    <cellStyle name="Normal 7 2 4 2 2 3" xfId="3821" xr:uid="{00000000-0005-0000-0000-000027240000}"/>
    <cellStyle name="Normal 7 2 4 2 2 4" xfId="5258" xr:uid="{00000000-0005-0000-0000-000028240000}"/>
    <cellStyle name="Normal 7 2 4 2 2 5" xfId="6704" xr:uid="{00000000-0005-0000-0000-000029240000}"/>
    <cellStyle name="Normal 7 2 4 2 2 6" xfId="8144" xr:uid="{00000000-0005-0000-0000-00002A240000}"/>
    <cellStyle name="Normal 7 2 4 2 2 7" xfId="9578" xr:uid="{00000000-0005-0000-0000-00002B240000}"/>
    <cellStyle name="Normal 7 2 4 2 3" xfId="1435" xr:uid="{00000000-0005-0000-0000-00002C240000}"/>
    <cellStyle name="Normal 7 2 4 2 3 2" xfId="2908" xr:uid="{00000000-0005-0000-0000-00002D240000}"/>
    <cellStyle name="Normal 7 2 4 2 3 3" xfId="4345" xr:uid="{00000000-0005-0000-0000-00002E240000}"/>
    <cellStyle name="Normal 7 2 4 2 3 4" xfId="5782" xr:uid="{00000000-0005-0000-0000-00002F240000}"/>
    <cellStyle name="Normal 7 2 4 2 3 5" xfId="7228" xr:uid="{00000000-0005-0000-0000-000030240000}"/>
    <cellStyle name="Normal 7 2 4 2 3 6" xfId="8669" xr:uid="{00000000-0005-0000-0000-000031240000}"/>
    <cellStyle name="Normal 7 2 4 2 3 7" xfId="10102" xr:uid="{00000000-0005-0000-0000-000032240000}"/>
    <cellStyle name="Normal 7 2 4 2 4" xfId="1907" xr:uid="{00000000-0005-0000-0000-000033240000}"/>
    <cellStyle name="Normal 7 2 4 2 5" xfId="3364" xr:uid="{00000000-0005-0000-0000-000034240000}"/>
    <cellStyle name="Normal 7 2 4 2 6" xfId="4801" xr:uid="{00000000-0005-0000-0000-000035240000}"/>
    <cellStyle name="Normal 7 2 4 2 7" xfId="6247" xr:uid="{00000000-0005-0000-0000-000036240000}"/>
    <cellStyle name="Normal 7 2 4 2 8" xfId="7685" xr:uid="{00000000-0005-0000-0000-000037240000}"/>
    <cellStyle name="Normal 7 2 4 2 9" xfId="9122" xr:uid="{00000000-0005-0000-0000-000038240000}"/>
    <cellStyle name="Normal 7 2 4 3" xfId="605" xr:uid="{00000000-0005-0000-0000-000039240000}"/>
    <cellStyle name="Normal 7 2 4 3 2" xfId="1084" xr:uid="{00000000-0005-0000-0000-00003A240000}"/>
    <cellStyle name="Normal 7 2 4 3 2 2" xfId="2575" xr:uid="{00000000-0005-0000-0000-00003B240000}"/>
    <cellStyle name="Normal 7 2 4 3 2 3" xfId="4018" xr:uid="{00000000-0005-0000-0000-00003C240000}"/>
    <cellStyle name="Normal 7 2 4 3 2 4" xfId="5455" xr:uid="{00000000-0005-0000-0000-00003D240000}"/>
    <cellStyle name="Normal 7 2 4 3 2 5" xfId="6901" xr:uid="{00000000-0005-0000-0000-00003E240000}"/>
    <cellStyle name="Normal 7 2 4 3 2 6" xfId="8341" xr:uid="{00000000-0005-0000-0000-00003F240000}"/>
    <cellStyle name="Normal 7 2 4 3 2 7" xfId="9775" xr:uid="{00000000-0005-0000-0000-000040240000}"/>
    <cellStyle name="Normal 7 2 4 3 3" xfId="1634" xr:uid="{00000000-0005-0000-0000-000041240000}"/>
    <cellStyle name="Normal 7 2 4 3 3 2" xfId="3105" xr:uid="{00000000-0005-0000-0000-000042240000}"/>
    <cellStyle name="Normal 7 2 4 3 3 3" xfId="4542" xr:uid="{00000000-0005-0000-0000-000043240000}"/>
    <cellStyle name="Normal 7 2 4 3 3 4" xfId="5979" xr:uid="{00000000-0005-0000-0000-000044240000}"/>
    <cellStyle name="Normal 7 2 4 3 3 5" xfId="7425" xr:uid="{00000000-0005-0000-0000-000045240000}"/>
    <cellStyle name="Normal 7 2 4 3 3 6" xfId="8866" xr:uid="{00000000-0005-0000-0000-000046240000}"/>
    <cellStyle name="Normal 7 2 4 3 3 7" xfId="10299" xr:uid="{00000000-0005-0000-0000-000047240000}"/>
    <cellStyle name="Normal 7 2 4 3 4" xfId="2104" xr:uid="{00000000-0005-0000-0000-000048240000}"/>
    <cellStyle name="Normal 7 2 4 3 5" xfId="3561" xr:uid="{00000000-0005-0000-0000-000049240000}"/>
    <cellStyle name="Normal 7 2 4 3 6" xfId="4998" xr:uid="{00000000-0005-0000-0000-00004A240000}"/>
    <cellStyle name="Normal 7 2 4 3 7" xfId="6444" xr:uid="{00000000-0005-0000-0000-00004B240000}"/>
    <cellStyle name="Normal 7 2 4 3 8" xfId="7883" xr:uid="{00000000-0005-0000-0000-00004C240000}"/>
    <cellStyle name="Normal 7 2 4 3 9" xfId="9318" xr:uid="{00000000-0005-0000-0000-00004D240000}"/>
    <cellStyle name="Normal 7 2 4 4" xfId="747" xr:uid="{00000000-0005-0000-0000-00004E240000}"/>
    <cellStyle name="Normal 7 2 4 4 2" xfId="2238" xr:uid="{00000000-0005-0000-0000-00004F240000}"/>
    <cellStyle name="Normal 7 2 4 4 3" xfId="3691" xr:uid="{00000000-0005-0000-0000-000050240000}"/>
    <cellStyle name="Normal 7 2 4 4 4" xfId="5128" xr:uid="{00000000-0005-0000-0000-000051240000}"/>
    <cellStyle name="Normal 7 2 4 4 5" xfId="6574" xr:uid="{00000000-0005-0000-0000-000052240000}"/>
    <cellStyle name="Normal 7 2 4 4 6" xfId="8014" xr:uid="{00000000-0005-0000-0000-000053240000}"/>
    <cellStyle name="Normal 7 2 4 4 7" xfId="9448" xr:uid="{00000000-0005-0000-0000-000054240000}"/>
    <cellStyle name="Normal 7 2 4 5" xfId="1303" xr:uid="{00000000-0005-0000-0000-000055240000}"/>
    <cellStyle name="Normal 7 2 4 5 2" xfId="2778" xr:uid="{00000000-0005-0000-0000-000056240000}"/>
    <cellStyle name="Normal 7 2 4 5 3" xfId="4215" xr:uid="{00000000-0005-0000-0000-000057240000}"/>
    <cellStyle name="Normal 7 2 4 5 4" xfId="5652" xr:uid="{00000000-0005-0000-0000-000058240000}"/>
    <cellStyle name="Normal 7 2 4 5 5" xfId="7098" xr:uid="{00000000-0005-0000-0000-000059240000}"/>
    <cellStyle name="Normal 7 2 4 5 6" xfId="8539" xr:uid="{00000000-0005-0000-0000-00005A240000}"/>
    <cellStyle name="Normal 7 2 4 5 7" xfId="9972" xr:uid="{00000000-0005-0000-0000-00005B240000}"/>
    <cellStyle name="Normal 7 2 4 6" xfId="1777" xr:uid="{00000000-0005-0000-0000-00005C240000}"/>
    <cellStyle name="Normal 7 2 4 7" xfId="3234" xr:uid="{00000000-0005-0000-0000-00005D240000}"/>
    <cellStyle name="Normal 7 2 4 8" xfId="4671" xr:uid="{00000000-0005-0000-0000-00005E240000}"/>
    <cellStyle name="Normal 7 2 4 9" xfId="6117" xr:uid="{00000000-0005-0000-0000-00005F240000}"/>
    <cellStyle name="Normal 7 2 5" xfId="332" xr:uid="{00000000-0005-0000-0000-000060240000}"/>
    <cellStyle name="Normal 7 2 5 2" xfId="814" xr:uid="{00000000-0005-0000-0000-000061240000}"/>
    <cellStyle name="Normal 7 2 5 2 2" xfId="2305" xr:uid="{00000000-0005-0000-0000-000062240000}"/>
    <cellStyle name="Normal 7 2 5 2 3" xfId="3756" xr:uid="{00000000-0005-0000-0000-000063240000}"/>
    <cellStyle name="Normal 7 2 5 2 4" xfId="5193" xr:uid="{00000000-0005-0000-0000-000064240000}"/>
    <cellStyle name="Normal 7 2 5 2 5" xfId="6639" xr:uid="{00000000-0005-0000-0000-000065240000}"/>
    <cellStyle name="Normal 7 2 5 2 6" xfId="8079" xr:uid="{00000000-0005-0000-0000-000066240000}"/>
    <cellStyle name="Normal 7 2 5 2 7" xfId="9513" xr:uid="{00000000-0005-0000-0000-000067240000}"/>
    <cellStyle name="Normal 7 2 5 3" xfId="1368" xr:uid="{00000000-0005-0000-0000-000068240000}"/>
    <cellStyle name="Normal 7 2 5 3 2" xfId="2843" xr:uid="{00000000-0005-0000-0000-000069240000}"/>
    <cellStyle name="Normal 7 2 5 3 3" xfId="4280" xr:uid="{00000000-0005-0000-0000-00006A240000}"/>
    <cellStyle name="Normal 7 2 5 3 4" xfId="5717" xr:uid="{00000000-0005-0000-0000-00006B240000}"/>
    <cellStyle name="Normal 7 2 5 3 5" xfId="7163" xr:uid="{00000000-0005-0000-0000-00006C240000}"/>
    <cellStyle name="Normal 7 2 5 3 6" xfId="8604" xr:uid="{00000000-0005-0000-0000-00006D240000}"/>
    <cellStyle name="Normal 7 2 5 3 7" xfId="10037" xr:uid="{00000000-0005-0000-0000-00006E240000}"/>
    <cellStyle name="Normal 7 2 5 4" xfId="1842" xr:uid="{00000000-0005-0000-0000-00006F240000}"/>
    <cellStyle name="Normal 7 2 5 5" xfId="3299" xr:uid="{00000000-0005-0000-0000-000070240000}"/>
    <cellStyle name="Normal 7 2 5 6" xfId="4736" xr:uid="{00000000-0005-0000-0000-000071240000}"/>
    <cellStyle name="Normal 7 2 5 7" xfId="6182" xr:uid="{00000000-0005-0000-0000-000072240000}"/>
    <cellStyle name="Normal 7 2 5 8" xfId="7620" xr:uid="{00000000-0005-0000-0000-000073240000}"/>
    <cellStyle name="Normal 7 2 5 9" xfId="9058" xr:uid="{00000000-0005-0000-0000-000074240000}"/>
    <cellStyle name="Normal 7 2 6" xfId="471" xr:uid="{00000000-0005-0000-0000-000075240000}"/>
    <cellStyle name="Normal 7 2 6 2" xfId="950" xr:uid="{00000000-0005-0000-0000-000076240000}"/>
    <cellStyle name="Normal 7 2 6 2 2" xfId="2441" xr:uid="{00000000-0005-0000-0000-000077240000}"/>
    <cellStyle name="Normal 7 2 6 2 3" xfId="3888" xr:uid="{00000000-0005-0000-0000-000078240000}"/>
    <cellStyle name="Normal 7 2 6 2 4" xfId="5325" xr:uid="{00000000-0005-0000-0000-000079240000}"/>
    <cellStyle name="Normal 7 2 6 2 5" xfId="6771" xr:uid="{00000000-0005-0000-0000-00007A240000}"/>
    <cellStyle name="Normal 7 2 6 2 6" xfId="8211" xr:uid="{00000000-0005-0000-0000-00007B240000}"/>
    <cellStyle name="Normal 7 2 6 2 7" xfId="9645" xr:uid="{00000000-0005-0000-0000-00007C240000}"/>
    <cellStyle name="Normal 7 2 6 3" xfId="1502" xr:uid="{00000000-0005-0000-0000-00007D240000}"/>
    <cellStyle name="Normal 7 2 6 3 2" xfId="2975" xr:uid="{00000000-0005-0000-0000-00007E240000}"/>
    <cellStyle name="Normal 7 2 6 3 3" xfId="4412" xr:uid="{00000000-0005-0000-0000-00007F240000}"/>
    <cellStyle name="Normal 7 2 6 3 4" xfId="5849" xr:uid="{00000000-0005-0000-0000-000080240000}"/>
    <cellStyle name="Normal 7 2 6 3 5" xfId="7295" xr:uid="{00000000-0005-0000-0000-000081240000}"/>
    <cellStyle name="Normal 7 2 6 3 6" xfId="8736" xr:uid="{00000000-0005-0000-0000-000082240000}"/>
    <cellStyle name="Normal 7 2 6 3 7" xfId="10169" xr:uid="{00000000-0005-0000-0000-000083240000}"/>
    <cellStyle name="Normal 7 2 6 4" xfId="1974" xr:uid="{00000000-0005-0000-0000-000084240000}"/>
    <cellStyle name="Normal 7 2 6 5" xfId="3431" xr:uid="{00000000-0005-0000-0000-000085240000}"/>
    <cellStyle name="Normal 7 2 6 6" xfId="4868" xr:uid="{00000000-0005-0000-0000-000086240000}"/>
    <cellStyle name="Normal 7 2 6 7" xfId="6314" xr:uid="{00000000-0005-0000-0000-000087240000}"/>
    <cellStyle name="Normal 7 2 6 8" xfId="7752" xr:uid="{00000000-0005-0000-0000-000088240000}"/>
    <cellStyle name="Normal 7 2 6 9" xfId="9189" xr:uid="{00000000-0005-0000-0000-000089240000}"/>
    <cellStyle name="Normal 7 2 7" xfId="536" xr:uid="{00000000-0005-0000-0000-00008A240000}"/>
    <cellStyle name="Normal 7 2 7 2" xfId="1015" xr:uid="{00000000-0005-0000-0000-00008B240000}"/>
    <cellStyle name="Normal 7 2 7 2 2" xfId="2506" xr:uid="{00000000-0005-0000-0000-00008C240000}"/>
    <cellStyle name="Normal 7 2 7 2 3" xfId="3953" xr:uid="{00000000-0005-0000-0000-00008D240000}"/>
    <cellStyle name="Normal 7 2 7 2 4" xfId="5390" xr:uid="{00000000-0005-0000-0000-00008E240000}"/>
    <cellStyle name="Normal 7 2 7 2 5" xfId="6836" xr:uid="{00000000-0005-0000-0000-00008F240000}"/>
    <cellStyle name="Normal 7 2 7 2 6" xfId="8276" xr:uid="{00000000-0005-0000-0000-000090240000}"/>
    <cellStyle name="Normal 7 2 7 2 7" xfId="9710" xr:uid="{00000000-0005-0000-0000-000091240000}"/>
    <cellStyle name="Normal 7 2 7 3" xfId="1567" xr:uid="{00000000-0005-0000-0000-000092240000}"/>
    <cellStyle name="Normal 7 2 7 3 2" xfId="3040" xr:uid="{00000000-0005-0000-0000-000093240000}"/>
    <cellStyle name="Normal 7 2 7 3 3" xfId="4477" xr:uid="{00000000-0005-0000-0000-000094240000}"/>
    <cellStyle name="Normal 7 2 7 3 4" xfId="5914" xr:uid="{00000000-0005-0000-0000-000095240000}"/>
    <cellStyle name="Normal 7 2 7 3 5" xfId="7360" xr:uid="{00000000-0005-0000-0000-000096240000}"/>
    <cellStyle name="Normal 7 2 7 3 6" xfId="8801" xr:uid="{00000000-0005-0000-0000-000097240000}"/>
    <cellStyle name="Normal 7 2 7 3 7" xfId="10234" xr:uid="{00000000-0005-0000-0000-000098240000}"/>
    <cellStyle name="Normal 7 2 7 4" xfId="2039" xr:uid="{00000000-0005-0000-0000-000099240000}"/>
    <cellStyle name="Normal 7 2 7 5" xfId="3496" xr:uid="{00000000-0005-0000-0000-00009A240000}"/>
    <cellStyle name="Normal 7 2 7 6" xfId="4933" xr:uid="{00000000-0005-0000-0000-00009B240000}"/>
    <cellStyle name="Normal 7 2 7 7" xfId="6379" xr:uid="{00000000-0005-0000-0000-00009C240000}"/>
    <cellStyle name="Normal 7 2 7 8" xfId="7817" xr:uid="{00000000-0005-0000-0000-00009D240000}"/>
    <cellStyle name="Normal 7 2 7 9" xfId="9254" xr:uid="{00000000-0005-0000-0000-00009E240000}"/>
    <cellStyle name="Normal 7 2 8" xfId="678" xr:uid="{00000000-0005-0000-0000-00009F240000}"/>
    <cellStyle name="Normal 7 2 8 2" xfId="2169" xr:uid="{00000000-0005-0000-0000-0000A0240000}"/>
    <cellStyle name="Normal 7 2 8 3" xfId="3626" xr:uid="{00000000-0005-0000-0000-0000A1240000}"/>
    <cellStyle name="Normal 7 2 8 4" xfId="5063" xr:uid="{00000000-0005-0000-0000-0000A2240000}"/>
    <cellStyle name="Normal 7 2 8 5" xfId="6509" xr:uid="{00000000-0005-0000-0000-0000A3240000}"/>
    <cellStyle name="Normal 7 2 8 6" xfId="7948" xr:uid="{00000000-0005-0000-0000-0000A4240000}"/>
    <cellStyle name="Normal 7 2 8 7" xfId="9383" xr:uid="{00000000-0005-0000-0000-0000A5240000}"/>
    <cellStyle name="Normal 7 2 9" xfId="1169" xr:uid="{00000000-0005-0000-0000-0000A6240000}"/>
    <cellStyle name="Normal 7 2 9 2" xfId="2648" xr:uid="{00000000-0005-0000-0000-0000A7240000}"/>
    <cellStyle name="Normal 7 2 9 3" xfId="4085" xr:uid="{00000000-0005-0000-0000-0000A8240000}"/>
    <cellStyle name="Normal 7 2 9 4" xfId="5522" xr:uid="{00000000-0005-0000-0000-0000A9240000}"/>
    <cellStyle name="Normal 7 2 9 5" xfId="6968" xr:uid="{00000000-0005-0000-0000-0000AA240000}"/>
    <cellStyle name="Normal 7 2 9 6" xfId="8409" xr:uid="{00000000-0005-0000-0000-0000AB240000}"/>
    <cellStyle name="Normal 7 2 9 7" xfId="9842" xr:uid="{00000000-0005-0000-0000-0000AC240000}"/>
    <cellStyle name="Normal 7 3" xfId="171" xr:uid="{00000000-0005-0000-0000-0000AD240000}"/>
    <cellStyle name="Normal 7 3 10" xfId="1726" xr:uid="{00000000-0005-0000-0000-0000AE240000}"/>
    <cellStyle name="Normal 7 3 11" xfId="3183" xr:uid="{00000000-0005-0000-0000-0000AF240000}"/>
    <cellStyle name="Normal 7 3 12" xfId="4620" xr:uid="{00000000-0005-0000-0000-0000B0240000}"/>
    <cellStyle name="Normal 7 3 13" xfId="6066" xr:uid="{00000000-0005-0000-0000-0000B1240000}"/>
    <cellStyle name="Normal 7 3 14" xfId="7504" xr:uid="{00000000-0005-0000-0000-0000B2240000}"/>
    <cellStyle name="Normal 7 3 15" xfId="8944" xr:uid="{00000000-0005-0000-0000-0000B3240000}"/>
    <cellStyle name="Normal 7 3 2" xfId="241" xr:uid="{00000000-0005-0000-0000-0000B4240000}"/>
    <cellStyle name="Normal 7 3 2 10" xfId="3215" xr:uid="{00000000-0005-0000-0000-0000B5240000}"/>
    <cellStyle name="Normal 7 3 2 11" xfId="4652" xr:uid="{00000000-0005-0000-0000-0000B6240000}"/>
    <cellStyle name="Normal 7 3 2 12" xfId="6098" xr:uid="{00000000-0005-0000-0000-0000B7240000}"/>
    <cellStyle name="Normal 7 3 2 13" xfId="7536" xr:uid="{00000000-0005-0000-0000-0000B8240000}"/>
    <cellStyle name="Normal 7 3 2 14" xfId="8976" xr:uid="{00000000-0005-0000-0000-0000B9240000}"/>
    <cellStyle name="Normal 7 3 2 2" xfId="309" xr:uid="{00000000-0005-0000-0000-0000BA240000}"/>
    <cellStyle name="Normal 7 3 2 2 10" xfId="7601" xr:uid="{00000000-0005-0000-0000-0000BB240000}"/>
    <cellStyle name="Normal 7 3 2 2 11" xfId="9040" xr:uid="{00000000-0005-0000-0000-0000BC240000}"/>
    <cellStyle name="Normal 7 3 2 2 2" xfId="447" xr:uid="{00000000-0005-0000-0000-0000BD240000}"/>
    <cellStyle name="Normal 7 3 2 2 2 2" xfId="929" xr:uid="{00000000-0005-0000-0000-0000BE240000}"/>
    <cellStyle name="Normal 7 3 2 2 2 2 2" xfId="2420" xr:uid="{00000000-0005-0000-0000-0000BF240000}"/>
    <cellStyle name="Normal 7 3 2 2 2 2 3" xfId="3867" xr:uid="{00000000-0005-0000-0000-0000C0240000}"/>
    <cellStyle name="Normal 7 3 2 2 2 2 4" xfId="5304" xr:uid="{00000000-0005-0000-0000-0000C1240000}"/>
    <cellStyle name="Normal 7 3 2 2 2 2 5" xfId="6750" xr:uid="{00000000-0005-0000-0000-0000C2240000}"/>
    <cellStyle name="Normal 7 3 2 2 2 2 6" xfId="8190" xr:uid="{00000000-0005-0000-0000-0000C3240000}"/>
    <cellStyle name="Normal 7 3 2 2 2 2 7" xfId="9624" xr:uid="{00000000-0005-0000-0000-0000C4240000}"/>
    <cellStyle name="Normal 7 3 2 2 2 3" xfId="1481" xr:uid="{00000000-0005-0000-0000-0000C5240000}"/>
    <cellStyle name="Normal 7 3 2 2 2 3 2" xfId="2954" xr:uid="{00000000-0005-0000-0000-0000C6240000}"/>
    <cellStyle name="Normal 7 3 2 2 2 3 3" xfId="4391" xr:uid="{00000000-0005-0000-0000-0000C7240000}"/>
    <cellStyle name="Normal 7 3 2 2 2 3 4" xfId="5828" xr:uid="{00000000-0005-0000-0000-0000C8240000}"/>
    <cellStyle name="Normal 7 3 2 2 2 3 5" xfId="7274" xr:uid="{00000000-0005-0000-0000-0000C9240000}"/>
    <cellStyle name="Normal 7 3 2 2 2 3 6" xfId="8715" xr:uid="{00000000-0005-0000-0000-0000CA240000}"/>
    <cellStyle name="Normal 7 3 2 2 2 3 7" xfId="10148" xr:uid="{00000000-0005-0000-0000-0000CB240000}"/>
    <cellStyle name="Normal 7 3 2 2 2 4" xfId="1953" xr:uid="{00000000-0005-0000-0000-0000CC240000}"/>
    <cellStyle name="Normal 7 3 2 2 2 5" xfId="3410" xr:uid="{00000000-0005-0000-0000-0000CD240000}"/>
    <cellStyle name="Normal 7 3 2 2 2 6" xfId="4847" xr:uid="{00000000-0005-0000-0000-0000CE240000}"/>
    <cellStyle name="Normal 7 3 2 2 2 7" xfId="6293" xr:uid="{00000000-0005-0000-0000-0000CF240000}"/>
    <cellStyle name="Normal 7 3 2 2 2 8" xfId="7731" xr:uid="{00000000-0005-0000-0000-0000D0240000}"/>
    <cellStyle name="Normal 7 3 2 2 2 9" xfId="9168" xr:uid="{00000000-0005-0000-0000-0000D1240000}"/>
    <cellStyle name="Normal 7 3 2 2 3" xfId="651" xr:uid="{00000000-0005-0000-0000-0000D2240000}"/>
    <cellStyle name="Normal 7 3 2 2 3 2" xfId="1130" xr:uid="{00000000-0005-0000-0000-0000D3240000}"/>
    <cellStyle name="Normal 7 3 2 2 3 2 2" xfId="2621" xr:uid="{00000000-0005-0000-0000-0000D4240000}"/>
    <cellStyle name="Normal 7 3 2 2 3 2 3" xfId="4064" xr:uid="{00000000-0005-0000-0000-0000D5240000}"/>
    <cellStyle name="Normal 7 3 2 2 3 2 4" xfId="5501" xr:uid="{00000000-0005-0000-0000-0000D6240000}"/>
    <cellStyle name="Normal 7 3 2 2 3 2 5" xfId="6947" xr:uid="{00000000-0005-0000-0000-0000D7240000}"/>
    <cellStyle name="Normal 7 3 2 2 3 2 6" xfId="8387" xr:uid="{00000000-0005-0000-0000-0000D8240000}"/>
    <cellStyle name="Normal 7 3 2 2 3 2 7" xfId="9821" xr:uid="{00000000-0005-0000-0000-0000D9240000}"/>
    <cellStyle name="Normal 7 3 2 2 3 3" xfId="1680" xr:uid="{00000000-0005-0000-0000-0000DA240000}"/>
    <cellStyle name="Normal 7 3 2 2 3 3 2" xfId="3151" xr:uid="{00000000-0005-0000-0000-0000DB240000}"/>
    <cellStyle name="Normal 7 3 2 2 3 3 3" xfId="4588" xr:uid="{00000000-0005-0000-0000-0000DC240000}"/>
    <cellStyle name="Normal 7 3 2 2 3 3 4" xfId="6025" xr:uid="{00000000-0005-0000-0000-0000DD240000}"/>
    <cellStyle name="Normal 7 3 2 2 3 3 5" xfId="7471" xr:uid="{00000000-0005-0000-0000-0000DE240000}"/>
    <cellStyle name="Normal 7 3 2 2 3 3 6" xfId="8912" xr:uid="{00000000-0005-0000-0000-0000DF240000}"/>
    <cellStyle name="Normal 7 3 2 2 3 3 7" xfId="10345" xr:uid="{00000000-0005-0000-0000-0000E0240000}"/>
    <cellStyle name="Normal 7 3 2 2 3 4" xfId="2150" xr:uid="{00000000-0005-0000-0000-0000E1240000}"/>
    <cellStyle name="Normal 7 3 2 2 3 5" xfId="3607" xr:uid="{00000000-0005-0000-0000-0000E2240000}"/>
    <cellStyle name="Normal 7 3 2 2 3 6" xfId="5044" xr:uid="{00000000-0005-0000-0000-0000E3240000}"/>
    <cellStyle name="Normal 7 3 2 2 3 7" xfId="6490" xr:uid="{00000000-0005-0000-0000-0000E4240000}"/>
    <cellStyle name="Normal 7 3 2 2 3 8" xfId="7929" xr:uid="{00000000-0005-0000-0000-0000E5240000}"/>
    <cellStyle name="Normal 7 3 2 2 3 9" xfId="9364" xr:uid="{00000000-0005-0000-0000-0000E6240000}"/>
    <cellStyle name="Normal 7 3 2 2 4" xfId="793" xr:uid="{00000000-0005-0000-0000-0000E7240000}"/>
    <cellStyle name="Normal 7 3 2 2 4 2" xfId="2284" xr:uid="{00000000-0005-0000-0000-0000E8240000}"/>
    <cellStyle name="Normal 7 3 2 2 4 3" xfId="3737" xr:uid="{00000000-0005-0000-0000-0000E9240000}"/>
    <cellStyle name="Normal 7 3 2 2 4 4" xfId="5174" xr:uid="{00000000-0005-0000-0000-0000EA240000}"/>
    <cellStyle name="Normal 7 3 2 2 4 5" xfId="6620" xr:uid="{00000000-0005-0000-0000-0000EB240000}"/>
    <cellStyle name="Normal 7 3 2 2 4 6" xfId="8060" xr:uid="{00000000-0005-0000-0000-0000EC240000}"/>
    <cellStyle name="Normal 7 3 2 2 4 7" xfId="9494" xr:uid="{00000000-0005-0000-0000-0000ED240000}"/>
    <cellStyle name="Normal 7 3 2 2 5" xfId="1349" xr:uid="{00000000-0005-0000-0000-0000EE240000}"/>
    <cellStyle name="Normal 7 3 2 2 5 2" xfId="2824" xr:uid="{00000000-0005-0000-0000-0000EF240000}"/>
    <cellStyle name="Normal 7 3 2 2 5 3" xfId="4261" xr:uid="{00000000-0005-0000-0000-0000F0240000}"/>
    <cellStyle name="Normal 7 3 2 2 5 4" xfId="5698" xr:uid="{00000000-0005-0000-0000-0000F1240000}"/>
    <cellStyle name="Normal 7 3 2 2 5 5" xfId="7144" xr:uid="{00000000-0005-0000-0000-0000F2240000}"/>
    <cellStyle name="Normal 7 3 2 2 5 6" xfId="8585" xr:uid="{00000000-0005-0000-0000-0000F3240000}"/>
    <cellStyle name="Normal 7 3 2 2 5 7" xfId="10018" xr:uid="{00000000-0005-0000-0000-0000F4240000}"/>
    <cellStyle name="Normal 7 3 2 2 6" xfId="1823" xr:uid="{00000000-0005-0000-0000-0000F5240000}"/>
    <cellStyle name="Normal 7 3 2 2 7" xfId="3280" xr:uid="{00000000-0005-0000-0000-0000F6240000}"/>
    <cellStyle name="Normal 7 3 2 2 8" xfId="4717" xr:uid="{00000000-0005-0000-0000-0000F7240000}"/>
    <cellStyle name="Normal 7 3 2 2 9" xfId="6163" xr:uid="{00000000-0005-0000-0000-0000F8240000}"/>
    <cellStyle name="Normal 7 3 2 3" xfId="378" xr:uid="{00000000-0005-0000-0000-0000F9240000}"/>
    <cellStyle name="Normal 7 3 2 3 2" xfId="860" xr:uid="{00000000-0005-0000-0000-0000FA240000}"/>
    <cellStyle name="Normal 7 3 2 3 2 2" xfId="2351" xr:uid="{00000000-0005-0000-0000-0000FB240000}"/>
    <cellStyle name="Normal 7 3 2 3 2 3" xfId="3802" xr:uid="{00000000-0005-0000-0000-0000FC240000}"/>
    <cellStyle name="Normal 7 3 2 3 2 4" xfId="5239" xr:uid="{00000000-0005-0000-0000-0000FD240000}"/>
    <cellStyle name="Normal 7 3 2 3 2 5" xfId="6685" xr:uid="{00000000-0005-0000-0000-0000FE240000}"/>
    <cellStyle name="Normal 7 3 2 3 2 6" xfId="8125" xr:uid="{00000000-0005-0000-0000-0000FF240000}"/>
    <cellStyle name="Normal 7 3 2 3 2 7" xfId="9559" xr:uid="{00000000-0005-0000-0000-000000250000}"/>
    <cellStyle name="Normal 7 3 2 3 3" xfId="1414" xr:uid="{00000000-0005-0000-0000-000001250000}"/>
    <cellStyle name="Normal 7 3 2 3 3 2" xfId="2889" xr:uid="{00000000-0005-0000-0000-000002250000}"/>
    <cellStyle name="Normal 7 3 2 3 3 3" xfId="4326" xr:uid="{00000000-0005-0000-0000-000003250000}"/>
    <cellStyle name="Normal 7 3 2 3 3 4" xfId="5763" xr:uid="{00000000-0005-0000-0000-000004250000}"/>
    <cellStyle name="Normal 7 3 2 3 3 5" xfId="7209" xr:uid="{00000000-0005-0000-0000-000005250000}"/>
    <cellStyle name="Normal 7 3 2 3 3 6" xfId="8650" xr:uid="{00000000-0005-0000-0000-000006250000}"/>
    <cellStyle name="Normal 7 3 2 3 3 7" xfId="10083" xr:uid="{00000000-0005-0000-0000-000007250000}"/>
    <cellStyle name="Normal 7 3 2 3 4" xfId="1888" xr:uid="{00000000-0005-0000-0000-000008250000}"/>
    <cellStyle name="Normal 7 3 2 3 5" xfId="3345" xr:uid="{00000000-0005-0000-0000-000009250000}"/>
    <cellStyle name="Normal 7 3 2 3 6" xfId="4782" xr:uid="{00000000-0005-0000-0000-00000A250000}"/>
    <cellStyle name="Normal 7 3 2 3 7" xfId="6228" xr:uid="{00000000-0005-0000-0000-00000B250000}"/>
    <cellStyle name="Normal 7 3 2 3 8" xfId="7666" xr:uid="{00000000-0005-0000-0000-00000C250000}"/>
    <cellStyle name="Normal 7 3 2 3 9" xfId="9103" xr:uid="{00000000-0005-0000-0000-00000D250000}"/>
    <cellStyle name="Normal 7 3 2 4" xfId="517" xr:uid="{00000000-0005-0000-0000-00000E250000}"/>
    <cellStyle name="Normal 7 3 2 4 2" xfId="996" xr:uid="{00000000-0005-0000-0000-00000F250000}"/>
    <cellStyle name="Normal 7 3 2 4 2 2" xfId="2487" xr:uid="{00000000-0005-0000-0000-000010250000}"/>
    <cellStyle name="Normal 7 3 2 4 2 3" xfId="3934" xr:uid="{00000000-0005-0000-0000-000011250000}"/>
    <cellStyle name="Normal 7 3 2 4 2 4" xfId="5371" xr:uid="{00000000-0005-0000-0000-000012250000}"/>
    <cellStyle name="Normal 7 3 2 4 2 5" xfId="6817" xr:uid="{00000000-0005-0000-0000-000013250000}"/>
    <cellStyle name="Normal 7 3 2 4 2 6" xfId="8257" xr:uid="{00000000-0005-0000-0000-000014250000}"/>
    <cellStyle name="Normal 7 3 2 4 2 7" xfId="9691" xr:uid="{00000000-0005-0000-0000-000015250000}"/>
    <cellStyle name="Normal 7 3 2 4 3" xfId="1548" xr:uid="{00000000-0005-0000-0000-000016250000}"/>
    <cellStyle name="Normal 7 3 2 4 3 2" xfId="3021" xr:uid="{00000000-0005-0000-0000-000017250000}"/>
    <cellStyle name="Normal 7 3 2 4 3 3" xfId="4458" xr:uid="{00000000-0005-0000-0000-000018250000}"/>
    <cellStyle name="Normal 7 3 2 4 3 4" xfId="5895" xr:uid="{00000000-0005-0000-0000-000019250000}"/>
    <cellStyle name="Normal 7 3 2 4 3 5" xfId="7341" xr:uid="{00000000-0005-0000-0000-00001A250000}"/>
    <cellStyle name="Normal 7 3 2 4 3 6" xfId="8782" xr:uid="{00000000-0005-0000-0000-00001B250000}"/>
    <cellStyle name="Normal 7 3 2 4 3 7" xfId="10215" xr:uid="{00000000-0005-0000-0000-00001C250000}"/>
    <cellStyle name="Normal 7 3 2 4 4" xfId="2020" xr:uid="{00000000-0005-0000-0000-00001D250000}"/>
    <cellStyle name="Normal 7 3 2 4 5" xfId="3477" xr:uid="{00000000-0005-0000-0000-00001E250000}"/>
    <cellStyle name="Normal 7 3 2 4 6" xfId="4914" xr:uid="{00000000-0005-0000-0000-00001F250000}"/>
    <cellStyle name="Normal 7 3 2 4 7" xfId="6360" xr:uid="{00000000-0005-0000-0000-000020250000}"/>
    <cellStyle name="Normal 7 3 2 4 8" xfId="7798" xr:uid="{00000000-0005-0000-0000-000021250000}"/>
    <cellStyle name="Normal 7 3 2 4 9" xfId="9235" xr:uid="{00000000-0005-0000-0000-000022250000}"/>
    <cellStyle name="Normal 7 3 2 5" xfId="582" xr:uid="{00000000-0005-0000-0000-000023250000}"/>
    <cellStyle name="Normal 7 3 2 5 2" xfId="1061" xr:uid="{00000000-0005-0000-0000-000024250000}"/>
    <cellStyle name="Normal 7 3 2 5 2 2" xfId="2552" xr:uid="{00000000-0005-0000-0000-000025250000}"/>
    <cellStyle name="Normal 7 3 2 5 2 3" xfId="3999" xr:uid="{00000000-0005-0000-0000-000026250000}"/>
    <cellStyle name="Normal 7 3 2 5 2 4" xfId="5436" xr:uid="{00000000-0005-0000-0000-000027250000}"/>
    <cellStyle name="Normal 7 3 2 5 2 5" xfId="6882" xr:uid="{00000000-0005-0000-0000-000028250000}"/>
    <cellStyle name="Normal 7 3 2 5 2 6" xfId="8322" xr:uid="{00000000-0005-0000-0000-000029250000}"/>
    <cellStyle name="Normal 7 3 2 5 2 7" xfId="9756" xr:uid="{00000000-0005-0000-0000-00002A250000}"/>
    <cellStyle name="Normal 7 3 2 5 3" xfId="1613" xr:uid="{00000000-0005-0000-0000-00002B250000}"/>
    <cellStyle name="Normal 7 3 2 5 3 2" xfId="3086" xr:uid="{00000000-0005-0000-0000-00002C250000}"/>
    <cellStyle name="Normal 7 3 2 5 3 3" xfId="4523" xr:uid="{00000000-0005-0000-0000-00002D250000}"/>
    <cellStyle name="Normal 7 3 2 5 3 4" xfId="5960" xr:uid="{00000000-0005-0000-0000-00002E250000}"/>
    <cellStyle name="Normal 7 3 2 5 3 5" xfId="7406" xr:uid="{00000000-0005-0000-0000-00002F250000}"/>
    <cellStyle name="Normal 7 3 2 5 3 6" xfId="8847" xr:uid="{00000000-0005-0000-0000-000030250000}"/>
    <cellStyle name="Normal 7 3 2 5 3 7" xfId="10280" xr:uid="{00000000-0005-0000-0000-000031250000}"/>
    <cellStyle name="Normal 7 3 2 5 4" xfId="2085" xr:uid="{00000000-0005-0000-0000-000032250000}"/>
    <cellStyle name="Normal 7 3 2 5 5" xfId="3542" xr:uid="{00000000-0005-0000-0000-000033250000}"/>
    <cellStyle name="Normal 7 3 2 5 6" xfId="4979" xr:uid="{00000000-0005-0000-0000-000034250000}"/>
    <cellStyle name="Normal 7 3 2 5 7" xfId="6425" xr:uid="{00000000-0005-0000-0000-000035250000}"/>
    <cellStyle name="Normal 7 3 2 5 8" xfId="7863" xr:uid="{00000000-0005-0000-0000-000036250000}"/>
    <cellStyle name="Normal 7 3 2 5 9" xfId="9299" xr:uid="{00000000-0005-0000-0000-000037250000}"/>
    <cellStyle name="Normal 7 3 2 6" xfId="724" xr:uid="{00000000-0005-0000-0000-000038250000}"/>
    <cellStyle name="Normal 7 3 2 6 2" xfId="2215" xr:uid="{00000000-0005-0000-0000-000039250000}"/>
    <cellStyle name="Normal 7 3 2 6 3" xfId="3672" xr:uid="{00000000-0005-0000-0000-00003A250000}"/>
    <cellStyle name="Normal 7 3 2 6 4" xfId="5109" xr:uid="{00000000-0005-0000-0000-00003B250000}"/>
    <cellStyle name="Normal 7 3 2 6 5" xfId="6555" xr:uid="{00000000-0005-0000-0000-00003C250000}"/>
    <cellStyle name="Normal 7 3 2 6 6" xfId="7994" xr:uid="{00000000-0005-0000-0000-00003D250000}"/>
    <cellStyle name="Normal 7 3 2 6 7" xfId="9429" xr:uid="{00000000-0005-0000-0000-00003E250000}"/>
    <cellStyle name="Normal 7 3 2 7" xfId="1215" xr:uid="{00000000-0005-0000-0000-00003F250000}"/>
    <cellStyle name="Normal 7 3 2 7 2" xfId="2694" xr:uid="{00000000-0005-0000-0000-000040250000}"/>
    <cellStyle name="Normal 7 3 2 7 3" xfId="4131" xr:uid="{00000000-0005-0000-0000-000041250000}"/>
    <cellStyle name="Normal 7 3 2 7 4" xfId="5568" xr:uid="{00000000-0005-0000-0000-000042250000}"/>
    <cellStyle name="Normal 7 3 2 7 5" xfId="7014" xr:uid="{00000000-0005-0000-0000-000043250000}"/>
    <cellStyle name="Normal 7 3 2 7 6" xfId="8455" xr:uid="{00000000-0005-0000-0000-000044250000}"/>
    <cellStyle name="Normal 7 3 2 7 7" xfId="9888" xr:uid="{00000000-0005-0000-0000-000045250000}"/>
    <cellStyle name="Normal 7 3 2 8" xfId="1280" xr:uid="{00000000-0005-0000-0000-000046250000}"/>
    <cellStyle name="Normal 7 3 2 8 2" xfId="2759" xr:uid="{00000000-0005-0000-0000-000047250000}"/>
    <cellStyle name="Normal 7 3 2 8 3" xfId="4196" xr:uid="{00000000-0005-0000-0000-000048250000}"/>
    <cellStyle name="Normal 7 3 2 8 4" xfId="5633" xr:uid="{00000000-0005-0000-0000-000049250000}"/>
    <cellStyle name="Normal 7 3 2 8 5" xfId="7079" xr:uid="{00000000-0005-0000-0000-00004A250000}"/>
    <cellStyle name="Normal 7 3 2 8 6" xfId="8520" xr:uid="{00000000-0005-0000-0000-00004B250000}"/>
    <cellStyle name="Normal 7 3 2 8 7" xfId="9953" xr:uid="{00000000-0005-0000-0000-00004C250000}"/>
    <cellStyle name="Normal 7 3 2 9" xfId="1758" xr:uid="{00000000-0005-0000-0000-00004D250000}"/>
    <cellStyle name="Normal 7 3 3" xfId="277" xr:uid="{00000000-0005-0000-0000-00004E250000}"/>
    <cellStyle name="Normal 7 3 3 10" xfId="7569" xr:uid="{00000000-0005-0000-0000-00004F250000}"/>
    <cellStyle name="Normal 7 3 3 11" xfId="9008" xr:uid="{00000000-0005-0000-0000-000050250000}"/>
    <cellStyle name="Normal 7 3 3 2" xfId="415" xr:uid="{00000000-0005-0000-0000-000051250000}"/>
    <cellStyle name="Normal 7 3 3 2 2" xfId="897" xr:uid="{00000000-0005-0000-0000-000052250000}"/>
    <cellStyle name="Normal 7 3 3 2 2 2" xfId="2388" xr:uid="{00000000-0005-0000-0000-000053250000}"/>
    <cellStyle name="Normal 7 3 3 2 2 3" xfId="3835" xr:uid="{00000000-0005-0000-0000-000054250000}"/>
    <cellStyle name="Normal 7 3 3 2 2 4" xfId="5272" xr:uid="{00000000-0005-0000-0000-000055250000}"/>
    <cellStyle name="Normal 7 3 3 2 2 5" xfId="6718" xr:uid="{00000000-0005-0000-0000-000056250000}"/>
    <cellStyle name="Normal 7 3 3 2 2 6" xfId="8158" xr:uid="{00000000-0005-0000-0000-000057250000}"/>
    <cellStyle name="Normal 7 3 3 2 2 7" xfId="9592" xr:uid="{00000000-0005-0000-0000-000058250000}"/>
    <cellStyle name="Normal 7 3 3 2 3" xfId="1449" xr:uid="{00000000-0005-0000-0000-000059250000}"/>
    <cellStyle name="Normal 7 3 3 2 3 2" xfId="2922" xr:uid="{00000000-0005-0000-0000-00005A250000}"/>
    <cellStyle name="Normal 7 3 3 2 3 3" xfId="4359" xr:uid="{00000000-0005-0000-0000-00005B250000}"/>
    <cellStyle name="Normal 7 3 3 2 3 4" xfId="5796" xr:uid="{00000000-0005-0000-0000-00005C250000}"/>
    <cellStyle name="Normal 7 3 3 2 3 5" xfId="7242" xr:uid="{00000000-0005-0000-0000-00005D250000}"/>
    <cellStyle name="Normal 7 3 3 2 3 6" xfId="8683" xr:uid="{00000000-0005-0000-0000-00005E250000}"/>
    <cellStyle name="Normal 7 3 3 2 3 7" xfId="10116" xr:uid="{00000000-0005-0000-0000-00005F250000}"/>
    <cellStyle name="Normal 7 3 3 2 4" xfId="1921" xr:uid="{00000000-0005-0000-0000-000060250000}"/>
    <cellStyle name="Normal 7 3 3 2 5" xfId="3378" xr:uid="{00000000-0005-0000-0000-000061250000}"/>
    <cellStyle name="Normal 7 3 3 2 6" xfId="4815" xr:uid="{00000000-0005-0000-0000-000062250000}"/>
    <cellStyle name="Normal 7 3 3 2 7" xfId="6261" xr:uid="{00000000-0005-0000-0000-000063250000}"/>
    <cellStyle name="Normal 7 3 3 2 8" xfId="7699" xr:uid="{00000000-0005-0000-0000-000064250000}"/>
    <cellStyle name="Normal 7 3 3 2 9" xfId="9136" xr:uid="{00000000-0005-0000-0000-000065250000}"/>
    <cellStyle name="Normal 7 3 3 3" xfId="619" xr:uid="{00000000-0005-0000-0000-000066250000}"/>
    <cellStyle name="Normal 7 3 3 3 2" xfId="1098" xr:uid="{00000000-0005-0000-0000-000067250000}"/>
    <cellStyle name="Normal 7 3 3 3 2 2" xfId="2589" xr:uid="{00000000-0005-0000-0000-000068250000}"/>
    <cellStyle name="Normal 7 3 3 3 2 3" xfId="4032" xr:uid="{00000000-0005-0000-0000-000069250000}"/>
    <cellStyle name="Normal 7 3 3 3 2 4" xfId="5469" xr:uid="{00000000-0005-0000-0000-00006A250000}"/>
    <cellStyle name="Normal 7 3 3 3 2 5" xfId="6915" xr:uid="{00000000-0005-0000-0000-00006B250000}"/>
    <cellStyle name="Normal 7 3 3 3 2 6" xfId="8355" xr:uid="{00000000-0005-0000-0000-00006C250000}"/>
    <cellStyle name="Normal 7 3 3 3 2 7" xfId="9789" xr:uid="{00000000-0005-0000-0000-00006D250000}"/>
    <cellStyle name="Normal 7 3 3 3 3" xfId="1648" xr:uid="{00000000-0005-0000-0000-00006E250000}"/>
    <cellStyle name="Normal 7 3 3 3 3 2" xfId="3119" xr:uid="{00000000-0005-0000-0000-00006F250000}"/>
    <cellStyle name="Normal 7 3 3 3 3 3" xfId="4556" xr:uid="{00000000-0005-0000-0000-000070250000}"/>
    <cellStyle name="Normal 7 3 3 3 3 4" xfId="5993" xr:uid="{00000000-0005-0000-0000-000071250000}"/>
    <cellStyle name="Normal 7 3 3 3 3 5" xfId="7439" xr:uid="{00000000-0005-0000-0000-000072250000}"/>
    <cellStyle name="Normal 7 3 3 3 3 6" xfId="8880" xr:uid="{00000000-0005-0000-0000-000073250000}"/>
    <cellStyle name="Normal 7 3 3 3 3 7" xfId="10313" xr:uid="{00000000-0005-0000-0000-000074250000}"/>
    <cellStyle name="Normal 7 3 3 3 4" xfId="2118" xr:uid="{00000000-0005-0000-0000-000075250000}"/>
    <cellStyle name="Normal 7 3 3 3 5" xfId="3575" xr:uid="{00000000-0005-0000-0000-000076250000}"/>
    <cellStyle name="Normal 7 3 3 3 6" xfId="5012" xr:uid="{00000000-0005-0000-0000-000077250000}"/>
    <cellStyle name="Normal 7 3 3 3 7" xfId="6458" xr:uid="{00000000-0005-0000-0000-000078250000}"/>
    <cellStyle name="Normal 7 3 3 3 8" xfId="7897" xr:uid="{00000000-0005-0000-0000-000079250000}"/>
    <cellStyle name="Normal 7 3 3 3 9" xfId="9332" xr:uid="{00000000-0005-0000-0000-00007A250000}"/>
    <cellStyle name="Normal 7 3 3 4" xfId="761" xr:uid="{00000000-0005-0000-0000-00007B250000}"/>
    <cellStyle name="Normal 7 3 3 4 2" xfId="2252" xr:uid="{00000000-0005-0000-0000-00007C250000}"/>
    <cellStyle name="Normal 7 3 3 4 3" xfId="3705" xr:uid="{00000000-0005-0000-0000-00007D250000}"/>
    <cellStyle name="Normal 7 3 3 4 4" xfId="5142" xr:uid="{00000000-0005-0000-0000-00007E250000}"/>
    <cellStyle name="Normal 7 3 3 4 5" xfId="6588" xr:uid="{00000000-0005-0000-0000-00007F250000}"/>
    <cellStyle name="Normal 7 3 3 4 6" xfId="8028" xr:uid="{00000000-0005-0000-0000-000080250000}"/>
    <cellStyle name="Normal 7 3 3 4 7" xfId="9462" xr:uid="{00000000-0005-0000-0000-000081250000}"/>
    <cellStyle name="Normal 7 3 3 5" xfId="1317" xr:uid="{00000000-0005-0000-0000-000082250000}"/>
    <cellStyle name="Normal 7 3 3 5 2" xfId="2792" xr:uid="{00000000-0005-0000-0000-000083250000}"/>
    <cellStyle name="Normal 7 3 3 5 3" xfId="4229" xr:uid="{00000000-0005-0000-0000-000084250000}"/>
    <cellStyle name="Normal 7 3 3 5 4" xfId="5666" xr:uid="{00000000-0005-0000-0000-000085250000}"/>
    <cellStyle name="Normal 7 3 3 5 5" xfId="7112" xr:uid="{00000000-0005-0000-0000-000086250000}"/>
    <cellStyle name="Normal 7 3 3 5 6" xfId="8553" xr:uid="{00000000-0005-0000-0000-000087250000}"/>
    <cellStyle name="Normal 7 3 3 5 7" xfId="9986" xr:uid="{00000000-0005-0000-0000-000088250000}"/>
    <cellStyle name="Normal 7 3 3 6" xfId="1791" xr:uid="{00000000-0005-0000-0000-000089250000}"/>
    <cellStyle name="Normal 7 3 3 7" xfId="3248" xr:uid="{00000000-0005-0000-0000-00008A250000}"/>
    <cellStyle name="Normal 7 3 3 8" xfId="4685" xr:uid="{00000000-0005-0000-0000-00008B250000}"/>
    <cellStyle name="Normal 7 3 3 9" xfId="6131" xr:uid="{00000000-0005-0000-0000-00008C250000}"/>
    <cellStyle name="Normal 7 3 4" xfId="346" xr:uid="{00000000-0005-0000-0000-00008D250000}"/>
    <cellStyle name="Normal 7 3 4 2" xfId="828" xr:uid="{00000000-0005-0000-0000-00008E250000}"/>
    <cellStyle name="Normal 7 3 4 2 2" xfId="2319" xr:uid="{00000000-0005-0000-0000-00008F250000}"/>
    <cellStyle name="Normal 7 3 4 2 3" xfId="3770" xr:uid="{00000000-0005-0000-0000-000090250000}"/>
    <cellStyle name="Normal 7 3 4 2 4" xfId="5207" xr:uid="{00000000-0005-0000-0000-000091250000}"/>
    <cellStyle name="Normal 7 3 4 2 5" xfId="6653" xr:uid="{00000000-0005-0000-0000-000092250000}"/>
    <cellStyle name="Normal 7 3 4 2 6" xfId="8093" xr:uid="{00000000-0005-0000-0000-000093250000}"/>
    <cellStyle name="Normal 7 3 4 2 7" xfId="9527" xr:uid="{00000000-0005-0000-0000-000094250000}"/>
    <cellStyle name="Normal 7 3 4 3" xfId="1382" xr:uid="{00000000-0005-0000-0000-000095250000}"/>
    <cellStyle name="Normal 7 3 4 3 2" xfId="2857" xr:uid="{00000000-0005-0000-0000-000096250000}"/>
    <cellStyle name="Normal 7 3 4 3 3" xfId="4294" xr:uid="{00000000-0005-0000-0000-000097250000}"/>
    <cellStyle name="Normal 7 3 4 3 4" xfId="5731" xr:uid="{00000000-0005-0000-0000-000098250000}"/>
    <cellStyle name="Normal 7 3 4 3 5" xfId="7177" xr:uid="{00000000-0005-0000-0000-000099250000}"/>
    <cellStyle name="Normal 7 3 4 3 6" xfId="8618" xr:uid="{00000000-0005-0000-0000-00009A250000}"/>
    <cellStyle name="Normal 7 3 4 3 7" xfId="10051" xr:uid="{00000000-0005-0000-0000-00009B250000}"/>
    <cellStyle name="Normal 7 3 4 4" xfId="1856" xr:uid="{00000000-0005-0000-0000-00009C250000}"/>
    <cellStyle name="Normal 7 3 4 5" xfId="3313" xr:uid="{00000000-0005-0000-0000-00009D250000}"/>
    <cellStyle name="Normal 7 3 4 6" xfId="4750" xr:uid="{00000000-0005-0000-0000-00009E250000}"/>
    <cellStyle name="Normal 7 3 4 7" xfId="6196" xr:uid="{00000000-0005-0000-0000-00009F250000}"/>
    <cellStyle name="Normal 7 3 4 8" xfId="7634" xr:uid="{00000000-0005-0000-0000-0000A0250000}"/>
    <cellStyle name="Normal 7 3 4 9" xfId="9071" xr:uid="{00000000-0005-0000-0000-0000A1250000}"/>
    <cellStyle name="Normal 7 3 5" xfId="485" xr:uid="{00000000-0005-0000-0000-0000A2250000}"/>
    <cellStyle name="Normal 7 3 5 2" xfId="964" xr:uid="{00000000-0005-0000-0000-0000A3250000}"/>
    <cellStyle name="Normal 7 3 5 2 2" xfId="2455" xr:uid="{00000000-0005-0000-0000-0000A4250000}"/>
    <cellStyle name="Normal 7 3 5 2 3" xfId="3902" xr:uid="{00000000-0005-0000-0000-0000A5250000}"/>
    <cellStyle name="Normal 7 3 5 2 4" xfId="5339" xr:uid="{00000000-0005-0000-0000-0000A6250000}"/>
    <cellStyle name="Normal 7 3 5 2 5" xfId="6785" xr:uid="{00000000-0005-0000-0000-0000A7250000}"/>
    <cellStyle name="Normal 7 3 5 2 6" xfId="8225" xr:uid="{00000000-0005-0000-0000-0000A8250000}"/>
    <cellStyle name="Normal 7 3 5 2 7" xfId="9659" xr:uid="{00000000-0005-0000-0000-0000A9250000}"/>
    <cellStyle name="Normal 7 3 5 3" xfId="1516" xr:uid="{00000000-0005-0000-0000-0000AA250000}"/>
    <cellStyle name="Normal 7 3 5 3 2" xfId="2989" xr:uid="{00000000-0005-0000-0000-0000AB250000}"/>
    <cellStyle name="Normal 7 3 5 3 3" xfId="4426" xr:uid="{00000000-0005-0000-0000-0000AC250000}"/>
    <cellStyle name="Normal 7 3 5 3 4" xfId="5863" xr:uid="{00000000-0005-0000-0000-0000AD250000}"/>
    <cellStyle name="Normal 7 3 5 3 5" xfId="7309" xr:uid="{00000000-0005-0000-0000-0000AE250000}"/>
    <cellStyle name="Normal 7 3 5 3 6" xfId="8750" xr:uid="{00000000-0005-0000-0000-0000AF250000}"/>
    <cellStyle name="Normal 7 3 5 3 7" xfId="10183" xr:uid="{00000000-0005-0000-0000-0000B0250000}"/>
    <cellStyle name="Normal 7 3 5 4" xfId="1988" xr:uid="{00000000-0005-0000-0000-0000B1250000}"/>
    <cellStyle name="Normal 7 3 5 5" xfId="3445" xr:uid="{00000000-0005-0000-0000-0000B2250000}"/>
    <cellStyle name="Normal 7 3 5 6" xfId="4882" xr:uid="{00000000-0005-0000-0000-0000B3250000}"/>
    <cellStyle name="Normal 7 3 5 7" xfId="6328" xr:uid="{00000000-0005-0000-0000-0000B4250000}"/>
    <cellStyle name="Normal 7 3 5 8" xfId="7766" xr:uid="{00000000-0005-0000-0000-0000B5250000}"/>
    <cellStyle name="Normal 7 3 5 9" xfId="9203" xr:uid="{00000000-0005-0000-0000-0000B6250000}"/>
    <cellStyle name="Normal 7 3 6" xfId="550" xr:uid="{00000000-0005-0000-0000-0000B7250000}"/>
    <cellStyle name="Normal 7 3 6 2" xfId="1029" xr:uid="{00000000-0005-0000-0000-0000B8250000}"/>
    <cellStyle name="Normal 7 3 6 2 2" xfId="2520" xr:uid="{00000000-0005-0000-0000-0000B9250000}"/>
    <cellStyle name="Normal 7 3 6 2 3" xfId="3967" xr:uid="{00000000-0005-0000-0000-0000BA250000}"/>
    <cellStyle name="Normal 7 3 6 2 4" xfId="5404" xr:uid="{00000000-0005-0000-0000-0000BB250000}"/>
    <cellStyle name="Normal 7 3 6 2 5" xfId="6850" xr:uid="{00000000-0005-0000-0000-0000BC250000}"/>
    <cellStyle name="Normal 7 3 6 2 6" xfId="8290" xr:uid="{00000000-0005-0000-0000-0000BD250000}"/>
    <cellStyle name="Normal 7 3 6 2 7" xfId="9724" xr:uid="{00000000-0005-0000-0000-0000BE250000}"/>
    <cellStyle name="Normal 7 3 6 3" xfId="1581" xr:uid="{00000000-0005-0000-0000-0000BF250000}"/>
    <cellStyle name="Normal 7 3 6 3 2" xfId="3054" xr:uid="{00000000-0005-0000-0000-0000C0250000}"/>
    <cellStyle name="Normal 7 3 6 3 3" xfId="4491" xr:uid="{00000000-0005-0000-0000-0000C1250000}"/>
    <cellStyle name="Normal 7 3 6 3 4" xfId="5928" xr:uid="{00000000-0005-0000-0000-0000C2250000}"/>
    <cellStyle name="Normal 7 3 6 3 5" xfId="7374" xr:uid="{00000000-0005-0000-0000-0000C3250000}"/>
    <cellStyle name="Normal 7 3 6 3 6" xfId="8815" xr:uid="{00000000-0005-0000-0000-0000C4250000}"/>
    <cellStyle name="Normal 7 3 6 3 7" xfId="10248" xr:uid="{00000000-0005-0000-0000-0000C5250000}"/>
    <cellStyle name="Normal 7 3 6 4" xfId="2053" xr:uid="{00000000-0005-0000-0000-0000C6250000}"/>
    <cellStyle name="Normal 7 3 6 5" xfId="3510" xr:uid="{00000000-0005-0000-0000-0000C7250000}"/>
    <cellStyle name="Normal 7 3 6 6" xfId="4947" xr:uid="{00000000-0005-0000-0000-0000C8250000}"/>
    <cellStyle name="Normal 7 3 6 7" xfId="6393" xr:uid="{00000000-0005-0000-0000-0000C9250000}"/>
    <cellStyle name="Normal 7 3 6 8" xfId="7831" xr:uid="{00000000-0005-0000-0000-0000CA250000}"/>
    <cellStyle name="Normal 7 3 6 9" xfId="9267" xr:uid="{00000000-0005-0000-0000-0000CB250000}"/>
    <cellStyle name="Normal 7 3 7" xfId="692" xr:uid="{00000000-0005-0000-0000-0000CC250000}"/>
    <cellStyle name="Normal 7 3 7 2" xfId="2183" xr:uid="{00000000-0005-0000-0000-0000CD250000}"/>
    <cellStyle name="Normal 7 3 7 3" xfId="3640" xr:uid="{00000000-0005-0000-0000-0000CE250000}"/>
    <cellStyle name="Normal 7 3 7 4" xfId="5077" xr:uid="{00000000-0005-0000-0000-0000CF250000}"/>
    <cellStyle name="Normal 7 3 7 5" xfId="6523" xr:uid="{00000000-0005-0000-0000-0000D0250000}"/>
    <cellStyle name="Normal 7 3 7 6" xfId="7962" xr:uid="{00000000-0005-0000-0000-0000D1250000}"/>
    <cellStyle name="Normal 7 3 7 7" xfId="9397" xr:uid="{00000000-0005-0000-0000-0000D2250000}"/>
    <cellStyle name="Normal 7 3 8" xfId="1183" xr:uid="{00000000-0005-0000-0000-0000D3250000}"/>
    <cellStyle name="Normal 7 3 8 2" xfId="2662" xr:uid="{00000000-0005-0000-0000-0000D4250000}"/>
    <cellStyle name="Normal 7 3 8 3" xfId="4099" xr:uid="{00000000-0005-0000-0000-0000D5250000}"/>
    <cellStyle name="Normal 7 3 8 4" xfId="5536" xr:uid="{00000000-0005-0000-0000-0000D6250000}"/>
    <cellStyle name="Normal 7 3 8 5" xfId="6982" xr:uid="{00000000-0005-0000-0000-0000D7250000}"/>
    <cellStyle name="Normal 7 3 8 6" xfId="8423" xr:uid="{00000000-0005-0000-0000-0000D8250000}"/>
    <cellStyle name="Normal 7 3 8 7" xfId="9856" xr:uid="{00000000-0005-0000-0000-0000D9250000}"/>
    <cellStyle name="Normal 7 3 9" xfId="1248" xr:uid="{00000000-0005-0000-0000-0000DA250000}"/>
    <cellStyle name="Normal 7 3 9 2" xfId="2727" xr:uid="{00000000-0005-0000-0000-0000DB250000}"/>
    <cellStyle name="Normal 7 3 9 3" xfId="4164" xr:uid="{00000000-0005-0000-0000-0000DC250000}"/>
    <cellStyle name="Normal 7 3 9 4" xfId="5601" xr:uid="{00000000-0005-0000-0000-0000DD250000}"/>
    <cellStyle name="Normal 7 3 9 5" xfId="7047" xr:uid="{00000000-0005-0000-0000-0000DE250000}"/>
    <cellStyle name="Normal 7 3 9 6" xfId="8488" xr:uid="{00000000-0005-0000-0000-0000DF250000}"/>
    <cellStyle name="Normal 7 3 9 7" xfId="9921" xr:uid="{00000000-0005-0000-0000-0000E0250000}"/>
    <cellStyle name="Normal 7 4" xfId="220" xr:uid="{00000000-0005-0000-0000-0000E1250000}"/>
    <cellStyle name="Normal 7 4 10" xfId="3195" xr:uid="{00000000-0005-0000-0000-0000E2250000}"/>
    <cellStyle name="Normal 7 4 11" xfId="4632" xr:uid="{00000000-0005-0000-0000-0000E3250000}"/>
    <cellStyle name="Normal 7 4 12" xfId="6078" xr:uid="{00000000-0005-0000-0000-0000E4250000}"/>
    <cellStyle name="Normal 7 4 13" xfId="7516" xr:uid="{00000000-0005-0000-0000-0000E5250000}"/>
    <cellStyle name="Normal 7 4 14" xfId="8956" xr:uid="{00000000-0005-0000-0000-0000E6250000}"/>
    <cellStyle name="Normal 7 4 2" xfId="289" xr:uid="{00000000-0005-0000-0000-0000E7250000}"/>
    <cellStyle name="Normal 7 4 2 10" xfId="7581" xr:uid="{00000000-0005-0000-0000-0000E8250000}"/>
    <cellStyle name="Normal 7 4 2 11" xfId="9020" xr:uid="{00000000-0005-0000-0000-0000E9250000}"/>
    <cellStyle name="Normal 7 4 2 2" xfId="427" xr:uid="{00000000-0005-0000-0000-0000EA250000}"/>
    <cellStyle name="Normal 7 4 2 2 2" xfId="909" xr:uid="{00000000-0005-0000-0000-0000EB250000}"/>
    <cellStyle name="Normal 7 4 2 2 2 2" xfId="2400" xr:uid="{00000000-0005-0000-0000-0000EC250000}"/>
    <cellStyle name="Normal 7 4 2 2 2 3" xfId="3847" xr:uid="{00000000-0005-0000-0000-0000ED250000}"/>
    <cellStyle name="Normal 7 4 2 2 2 4" xfId="5284" xr:uid="{00000000-0005-0000-0000-0000EE250000}"/>
    <cellStyle name="Normal 7 4 2 2 2 5" xfId="6730" xr:uid="{00000000-0005-0000-0000-0000EF250000}"/>
    <cellStyle name="Normal 7 4 2 2 2 6" xfId="8170" xr:uid="{00000000-0005-0000-0000-0000F0250000}"/>
    <cellStyle name="Normal 7 4 2 2 2 7" xfId="9604" xr:uid="{00000000-0005-0000-0000-0000F1250000}"/>
    <cellStyle name="Normal 7 4 2 2 3" xfId="1461" xr:uid="{00000000-0005-0000-0000-0000F2250000}"/>
    <cellStyle name="Normal 7 4 2 2 3 2" xfId="2934" xr:uid="{00000000-0005-0000-0000-0000F3250000}"/>
    <cellStyle name="Normal 7 4 2 2 3 3" xfId="4371" xr:uid="{00000000-0005-0000-0000-0000F4250000}"/>
    <cellStyle name="Normal 7 4 2 2 3 4" xfId="5808" xr:uid="{00000000-0005-0000-0000-0000F5250000}"/>
    <cellStyle name="Normal 7 4 2 2 3 5" xfId="7254" xr:uid="{00000000-0005-0000-0000-0000F6250000}"/>
    <cellStyle name="Normal 7 4 2 2 3 6" xfId="8695" xr:uid="{00000000-0005-0000-0000-0000F7250000}"/>
    <cellStyle name="Normal 7 4 2 2 3 7" xfId="10128" xr:uid="{00000000-0005-0000-0000-0000F8250000}"/>
    <cellStyle name="Normal 7 4 2 2 4" xfId="1933" xr:uid="{00000000-0005-0000-0000-0000F9250000}"/>
    <cellStyle name="Normal 7 4 2 2 5" xfId="3390" xr:uid="{00000000-0005-0000-0000-0000FA250000}"/>
    <cellStyle name="Normal 7 4 2 2 6" xfId="4827" xr:uid="{00000000-0005-0000-0000-0000FB250000}"/>
    <cellStyle name="Normal 7 4 2 2 7" xfId="6273" xr:uid="{00000000-0005-0000-0000-0000FC250000}"/>
    <cellStyle name="Normal 7 4 2 2 8" xfId="7711" xr:uid="{00000000-0005-0000-0000-0000FD250000}"/>
    <cellStyle name="Normal 7 4 2 2 9" xfId="9148" xr:uid="{00000000-0005-0000-0000-0000FE250000}"/>
    <cellStyle name="Normal 7 4 2 3" xfId="631" xr:uid="{00000000-0005-0000-0000-0000FF250000}"/>
    <cellStyle name="Normal 7 4 2 3 2" xfId="1110" xr:uid="{00000000-0005-0000-0000-000000260000}"/>
    <cellStyle name="Normal 7 4 2 3 2 2" xfId="2601" xr:uid="{00000000-0005-0000-0000-000001260000}"/>
    <cellStyle name="Normal 7 4 2 3 2 3" xfId="4044" xr:uid="{00000000-0005-0000-0000-000002260000}"/>
    <cellStyle name="Normal 7 4 2 3 2 4" xfId="5481" xr:uid="{00000000-0005-0000-0000-000003260000}"/>
    <cellStyle name="Normal 7 4 2 3 2 5" xfId="6927" xr:uid="{00000000-0005-0000-0000-000004260000}"/>
    <cellStyle name="Normal 7 4 2 3 2 6" xfId="8367" xr:uid="{00000000-0005-0000-0000-000005260000}"/>
    <cellStyle name="Normal 7 4 2 3 2 7" xfId="9801" xr:uid="{00000000-0005-0000-0000-000006260000}"/>
    <cellStyle name="Normal 7 4 2 3 3" xfId="1660" xr:uid="{00000000-0005-0000-0000-000007260000}"/>
    <cellStyle name="Normal 7 4 2 3 3 2" xfId="3131" xr:uid="{00000000-0005-0000-0000-000008260000}"/>
    <cellStyle name="Normal 7 4 2 3 3 3" xfId="4568" xr:uid="{00000000-0005-0000-0000-000009260000}"/>
    <cellStyle name="Normal 7 4 2 3 3 4" xfId="6005" xr:uid="{00000000-0005-0000-0000-00000A260000}"/>
    <cellStyle name="Normal 7 4 2 3 3 5" xfId="7451" xr:uid="{00000000-0005-0000-0000-00000B260000}"/>
    <cellStyle name="Normal 7 4 2 3 3 6" xfId="8892" xr:uid="{00000000-0005-0000-0000-00000C260000}"/>
    <cellStyle name="Normal 7 4 2 3 3 7" xfId="10325" xr:uid="{00000000-0005-0000-0000-00000D260000}"/>
    <cellStyle name="Normal 7 4 2 3 4" xfId="2130" xr:uid="{00000000-0005-0000-0000-00000E260000}"/>
    <cellStyle name="Normal 7 4 2 3 5" xfId="3587" xr:uid="{00000000-0005-0000-0000-00000F260000}"/>
    <cellStyle name="Normal 7 4 2 3 6" xfId="5024" xr:uid="{00000000-0005-0000-0000-000010260000}"/>
    <cellStyle name="Normal 7 4 2 3 7" xfId="6470" xr:uid="{00000000-0005-0000-0000-000011260000}"/>
    <cellStyle name="Normal 7 4 2 3 8" xfId="7909" xr:uid="{00000000-0005-0000-0000-000012260000}"/>
    <cellStyle name="Normal 7 4 2 3 9" xfId="9344" xr:uid="{00000000-0005-0000-0000-000013260000}"/>
    <cellStyle name="Normal 7 4 2 4" xfId="773" xr:uid="{00000000-0005-0000-0000-000014260000}"/>
    <cellStyle name="Normal 7 4 2 4 2" xfId="2264" xr:uid="{00000000-0005-0000-0000-000015260000}"/>
    <cellStyle name="Normal 7 4 2 4 3" xfId="3717" xr:uid="{00000000-0005-0000-0000-000016260000}"/>
    <cellStyle name="Normal 7 4 2 4 4" xfId="5154" xr:uid="{00000000-0005-0000-0000-000017260000}"/>
    <cellStyle name="Normal 7 4 2 4 5" xfId="6600" xr:uid="{00000000-0005-0000-0000-000018260000}"/>
    <cellStyle name="Normal 7 4 2 4 6" xfId="8040" xr:uid="{00000000-0005-0000-0000-000019260000}"/>
    <cellStyle name="Normal 7 4 2 4 7" xfId="9474" xr:uid="{00000000-0005-0000-0000-00001A260000}"/>
    <cellStyle name="Normal 7 4 2 5" xfId="1329" xr:uid="{00000000-0005-0000-0000-00001B260000}"/>
    <cellStyle name="Normal 7 4 2 5 2" xfId="2804" xr:uid="{00000000-0005-0000-0000-00001C260000}"/>
    <cellStyle name="Normal 7 4 2 5 3" xfId="4241" xr:uid="{00000000-0005-0000-0000-00001D260000}"/>
    <cellStyle name="Normal 7 4 2 5 4" xfId="5678" xr:uid="{00000000-0005-0000-0000-00001E260000}"/>
    <cellStyle name="Normal 7 4 2 5 5" xfId="7124" xr:uid="{00000000-0005-0000-0000-00001F260000}"/>
    <cellStyle name="Normal 7 4 2 5 6" xfId="8565" xr:uid="{00000000-0005-0000-0000-000020260000}"/>
    <cellStyle name="Normal 7 4 2 5 7" xfId="9998" xr:uid="{00000000-0005-0000-0000-000021260000}"/>
    <cellStyle name="Normal 7 4 2 6" xfId="1803" xr:uid="{00000000-0005-0000-0000-000022260000}"/>
    <cellStyle name="Normal 7 4 2 7" xfId="3260" xr:uid="{00000000-0005-0000-0000-000023260000}"/>
    <cellStyle name="Normal 7 4 2 8" xfId="4697" xr:uid="{00000000-0005-0000-0000-000024260000}"/>
    <cellStyle name="Normal 7 4 2 9" xfId="6143" xr:uid="{00000000-0005-0000-0000-000025260000}"/>
    <cellStyle name="Normal 7 4 3" xfId="358" xr:uid="{00000000-0005-0000-0000-000026260000}"/>
    <cellStyle name="Normal 7 4 3 2" xfId="840" xr:uid="{00000000-0005-0000-0000-000027260000}"/>
    <cellStyle name="Normal 7 4 3 2 2" xfId="2331" xr:uid="{00000000-0005-0000-0000-000028260000}"/>
    <cellStyle name="Normal 7 4 3 2 3" xfId="3782" xr:uid="{00000000-0005-0000-0000-000029260000}"/>
    <cellStyle name="Normal 7 4 3 2 4" xfId="5219" xr:uid="{00000000-0005-0000-0000-00002A260000}"/>
    <cellStyle name="Normal 7 4 3 2 5" xfId="6665" xr:uid="{00000000-0005-0000-0000-00002B260000}"/>
    <cellStyle name="Normal 7 4 3 2 6" xfId="8105" xr:uid="{00000000-0005-0000-0000-00002C260000}"/>
    <cellStyle name="Normal 7 4 3 2 7" xfId="9539" xr:uid="{00000000-0005-0000-0000-00002D260000}"/>
    <cellStyle name="Normal 7 4 3 3" xfId="1394" xr:uid="{00000000-0005-0000-0000-00002E260000}"/>
    <cellStyle name="Normal 7 4 3 3 2" xfId="2869" xr:uid="{00000000-0005-0000-0000-00002F260000}"/>
    <cellStyle name="Normal 7 4 3 3 3" xfId="4306" xr:uid="{00000000-0005-0000-0000-000030260000}"/>
    <cellStyle name="Normal 7 4 3 3 4" xfId="5743" xr:uid="{00000000-0005-0000-0000-000031260000}"/>
    <cellStyle name="Normal 7 4 3 3 5" xfId="7189" xr:uid="{00000000-0005-0000-0000-000032260000}"/>
    <cellStyle name="Normal 7 4 3 3 6" xfId="8630" xr:uid="{00000000-0005-0000-0000-000033260000}"/>
    <cellStyle name="Normal 7 4 3 3 7" xfId="10063" xr:uid="{00000000-0005-0000-0000-000034260000}"/>
    <cellStyle name="Normal 7 4 3 4" xfId="1868" xr:uid="{00000000-0005-0000-0000-000035260000}"/>
    <cellStyle name="Normal 7 4 3 5" xfId="3325" xr:uid="{00000000-0005-0000-0000-000036260000}"/>
    <cellStyle name="Normal 7 4 3 6" xfId="4762" xr:uid="{00000000-0005-0000-0000-000037260000}"/>
    <cellStyle name="Normal 7 4 3 7" xfId="6208" xr:uid="{00000000-0005-0000-0000-000038260000}"/>
    <cellStyle name="Normal 7 4 3 8" xfId="7646" xr:uid="{00000000-0005-0000-0000-000039260000}"/>
    <cellStyle name="Normal 7 4 3 9" xfId="9083" xr:uid="{00000000-0005-0000-0000-00003A260000}"/>
    <cellStyle name="Normal 7 4 4" xfId="497" xr:uid="{00000000-0005-0000-0000-00003B260000}"/>
    <cellStyle name="Normal 7 4 4 2" xfId="976" xr:uid="{00000000-0005-0000-0000-00003C260000}"/>
    <cellStyle name="Normal 7 4 4 2 2" xfId="2467" xr:uid="{00000000-0005-0000-0000-00003D260000}"/>
    <cellStyle name="Normal 7 4 4 2 3" xfId="3914" xr:uid="{00000000-0005-0000-0000-00003E260000}"/>
    <cellStyle name="Normal 7 4 4 2 4" xfId="5351" xr:uid="{00000000-0005-0000-0000-00003F260000}"/>
    <cellStyle name="Normal 7 4 4 2 5" xfId="6797" xr:uid="{00000000-0005-0000-0000-000040260000}"/>
    <cellStyle name="Normal 7 4 4 2 6" xfId="8237" xr:uid="{00000000-0005-0000-0000-000041260000}"/>
    <cellStyle name="Normal 7 4 4 2 7" xfId="9671" xr:uid="{00000000-0005-0000-0000-000042260000}"/>
    <cellStyle name="Normal 7 4 4 3" xfId="1528" xr:uid="{00000000-0005-0000-0000-000043260000}"/>
    <cellStyle name="Normal 7 4 4 3 2" xfId="3001" xr:uid="{00000000-0005-0000-0000-000044260000}"/>
    <cellStyle name="Normal 7 4 4 3 3" xfId="4438" xr:uid="{00000000-0005-0000-0000-000045260000}"/>
    <cellStyle name="Normal 7 4 4 3 4" xfId="5875" xr:uid="{00000000-0005-0000-0000-000046260000}"/>
    <cellStyle name="Normal 7 4 4 3 5" xfId="7321" xr:uid="{00000000-0005-0000-0000-000047260000}"/>
    <cellStyle name="Normal 7 4 4 3 6" xfId="8762" xr:uid="{00000000-0005-0000-0000-000048260000}"/>
    <cellStyle name="Normal 7 4 4 3 7" xfId="10195" xr:uid="{00000000-0005-0000-0000-000049260000}"/>
    <cellStyle name="Normal 7 4 4 4" xfId="2000" xr:uid="{00000000-0005-0000-0000-00004A260000}"/>
    <cellStyle name="Normal 7 4 4 5" xfId="3457" xr:uid="{00000000-0005-0000-0000-00004B260000}"/>
    <cellStyle name="Normal 7 4 4 6" xfId="4894" xr:uid="{00000000-0005-0000-0000-00004C260000}"/>
    <cellStyle name="Normal 7 4 4 7" xfId="6340" xr:uid="{00000000-0005-0000-0000-00004D260000}"/>
    <cellStyle name="Normal 7 4 4 8" xfId="7778" xr:uid="{00000000-0005-0000-0000-00004E260000}"/>
    <cellStyle name="Normal 7 4 4 9" xfId="9215" xr:uid="{00000000-0005-0000-0000-00004F260000}"/>
    <cellStyle name="Normal 7 4 5" xfId="562" xr:uid="{00000000-0005-0000-0000-000050260000}"/>
    <cellStyle name="Normal 7 4 5 2" xfId="1041" xr:uid="{00000000-0005-0000-0000-000051260000}"/>
    <cellStyle name="Normal 7 4 5 2 2" xfId="2532" xr:uid="{00000000-0005-0000-0000-000052260000}"/>
    <cellStyle name="Normal 7 4 5 2 3" xfId="3979" xr:uid="{00000000-0005-0000-0000-000053260000}"/>
    <cellStyle name="Normal 7 4 5 2 4" xfId="5416" xr:uid="{00000000-0005-0000-0000-000054260000}"/>
    <cellStyle name="Normal 7 4 5 2 5" xfId="6862" xr:uid="{00000000-0005-0000-0000-000055260000}"/>
    <cellStyle name="Normal 7 4 5 2 6" xfId="8302" xr:uid="{00000000-0005-0000-0000-000056260000}"/>
    <cellStyle name="Normal 7 4 5 2 7" xfId="9736" xr:uid="{00000000-0005-0000-0000-000057260000}"/>
    <cellStyle name="Normal 7 4 5 3" xfId="1593" xr:uid="{00000000-0005-0000-0000-000058260000}"/>
    <cellStyle name="Normal 7 4 5 3 2" xfId="3066" xr:uid="{00000000-0005-0000-0000-000059260000}"/>
    <cellStyle name="Normal 7 4 5 3 3" xfId="4503" xr:uid="{00000000-0005-0000-0000-00005A260000}"/>
    <cellStyle name="Normal 7 4 5 3 4" xfId="5940" xr:uid="{00000000-0005-0000-0000-00005B260000}"/>
    <cellStyle name="Normal 7 4 5 3 5" xfId="7386" xr:uid="{00000000-0005-0000-0000-00005C260000}"/>
    <cellStyle name="Normal 7 4 5 3 6" xfId="8827" xr:uid="{00000000-0005-0000-0000-00005D260000}"/>
    <cellStyle name="Normal 7 4 5 3 7" xfId="10260" xr:uid="{00000000-0005-0000-0000-00005E260000}"/>
    <cellStyle name="Normal 7 4 5 4" xfId="2065" xr:uid="{00000000-0005-0000-0000-00005F260000}"/>
    <cellStyle name="Normal 7 4 5 5" xfId="3522" xr:uid="{00000000-0005-0000-0000-000060260000}"/>
    <cellStyle name="Normal 7 4 5 6" xfId="4959" xr:uid="{00000000-0005-0000-0000-000061260000}"/>
    <cellStyle name="Normal 7 4 5 7" xfId="6405" xr:uid="{00000000-0005-0000-0000-000062260000}"/>
    <cellStyle name="Normal 7 4 5 8" xfId="7843" xr:uid="{00000000-0005-0000-0000-000063260000}"/>
    <cellStyle name="Normal 7 4 5 9" xfId="9279" xr:uid="{00000000-0005-0000-0000-000064260000}"/>
    <cellStyle name="Normal 7 4 6" xfId="704" xr:uid="{00000000-0005-0000-0000-000065260000}"/>
    <cellStyle name="Normal 7 4 6 2" xfId="2195" xr:uid="{00000000-0005-0000-0000-000066260000}"/>
    <cellStyle name="Normal 7 4 6 3" xfId="3652" xr:uid="{00000000-0005-0000-0000-000067260000}"/>
    <cellStyle name="Normal 7 4 6 4" xfId="5089" xr:uid="{00000000-0005-0000-0000-000068260000}"/>
    <cellStyle name="Normal 7 4 6 5" xfId="6535" xr:uid="{00000000-0005-0000-0000-000069260000}"/>
    <cellStyle name="Normal 7 4 6 6" xfId="7974" xr:uid="{00000000-0005-0000-0000-00006A260000}"/>
    <cellStyle name="Normal 7 4 6 7" xfId="9409" xr:uid="{00000000-0005-0000-0000-00006B260000}"/>
    <cellStyle name="Normal 7 4 7" xfId="1195" xr:uid="{00000000-0005-0000-0000-00006C260000}"/>
    <cellStyle name="Normal 7 4 7 2" xfId="2674" xr:uid="{00000000-0005-0000-0000-00006D260000}"/>
    <cellStyle name="Normal 7 4 7 3" xfId="4111" xr:uid="{00000000-0005-0000-0000-00006E260000}"/>
    <cellStyle name="Normal 7 4 7 4" xfId="5548" xr:uid="{00000000-0005-0000-0000-00006F260000}"/>
    <cellStyle name="Normal 7 4 7 5" xfId="6994" xr:uid="{00000000-0005-0000-0000-000070260000}"/>
    <cellStyle name="Normal 7 4 7 6" xfId="8435" xr:uid="{00000000-0005-0000-0000-000071260000}"/>
    <cellStyle name="Normal 7 4 7 7" xfId="9868" xr:uid="{00000000-0005-0000-0000-000072260000}"/>
    <cellStyle name="Normal 7 4 8" xfId="1260" xr:uid="{00000000-0005-0000-0000-000073260000}"/>
    <cellStyle name="Normal 7 4 8 2" xfId="2739" xr:uid="{00000000-0005-0000-0000-000074260000}"/>
    <cellStyle name="Normal 7 4 8 3" xfId="4176" xr:uid="{00000000-0005-0000-0000-000075260000}"/>
    <cellStyle name="Normal 7 4 8 4" xfId="5613" xr:uid="{00000000-0005-0000-0000-000076260000}"/>
    <cellStyle name="Normal 7 4 8 5" xfId="7059" xr:uid="{00000000-0005-0000-0000-000077260000}"/>
    <cellStyle name="Normal 7 4 8 6" xfId="8500" xr:uid="{00000000-0005-0000-0000-000078260000}"/>
    <cellStyle name="Normal 7 4 8 7" xfId="9933" xr:uid="{00000000-0005-0000-0000-000079260000}"/>
    <cellStyle name="Normal 7 4 9" xfId="1738" xr:uid="{00000000-0005-0000-0000-00007A260000}"/>
    <cellStyle name="Normal 7 5" xfId="258" xr:uid="{00000000-0005-0000-0000-00007B260000}"/>
    <cellStyle name="Normal 7 5 10" xfId="7547" xr:uid="{00000000-0005-0000-0000-00007C260000}"/>
    <cellStyle name="Normal 7 5 11" xfId="8986" xr:uid="{00000000-0005-0000-0000-00007D260000}"/>
    <cellStyle name="Normal 7 5 2" xfId="393" xr:uid="{00000000-0005-0000-0000-00007E260000}"/>
    <cellStyle name="Normal 7 5 2 2" xfId="875" xr:uid="{00000000-0005-0000-0000-00007F260000}"/>
    <cellStyle name="Normal 7 5 2 2 2" xfId="2366" xr:uid="{00000000-0005-0000-0000-000080260000}"/>
    <cellStyle name="Normal 7 5 2 2 3" xfId="3813" xr:uid="{00000000-0005-0000-0000-000081260000}"/>
    <cellStyle name="Normal 7 5 2 2 4" xfId="5250" xr:uid="{00000000-0005-0000-0000-000082260000}"/>
    <cellStyle name="Normal 7 5 2 2 5" xfId="6696" xr:uid="{00000000-0005-0000-0000-000083260000}"/>
    <cellStyle name="Normal 7 5 2 2 6" xfId="8136" xr:uid="{00000000-0005-0000-0000-000084260000}"/>
    <cellStyle name="Normal 7 5 2 2 7" xfId="9570" xr:uid="{00000000-0005-0000-0000-000085260000}"/>
    <cellStyle name="Normal 7 5 2 3" xfId="1427" xr:uid="{00000000-0005-0000-0000-000086260000}"/>
    <cellStyle name="Normal 7 5 2 3 2" xfId="2900" xr:uid="{00000000-0005-0000-0000-000087260000}"/>
    <cellStyle name="Normal 7 5 2 3 3" xfId="4337" xr:uid="{00000000-0005-0000-0000-000088260000}"/>
    <cellStyle name="Normal 7 5 2 3 4" xfId="5774" xr:uid="{00000000-0005-0000-0000-000089260000}"/>
    <cellStyle name="Normal 7 5 2 3 5" xfId="7220" xr:uid="{00000000-0005-0000-0000-00008A260000}"/>
    <cellStyle name="Normal 7 5 2 3 6" xfId="8661" xr:uid="{00000000-0005-0000-0000-00008B260000}"/>
    <cellStyle name="Normal 7 5 2 3 7" xfId="10094" xr:uid="{00000000-0005-0000-0000-00008C260000}"/>
    <cellStyle name="Normal 7 5 2 4" xfId="1899" xr:uid="{00000000-0005-0000-0000-00008D260000}"/>
    <cellStyle name="Normal 7 5 2 5" xfId="3356" xr:uid="{00000000-0005-0000-0000-00008E260000}"/>
    <cellStyle name="Normal 7 5 2 6" xfId="4793" xr:uid="{00000000-0005-0000-0000-00008F260000}"/>
    <cellStyle name="Normal 7 5 2 7" xfId="6239" xr:uid="{00000000-0005-0000-0000-000090260000}"/>
    <cellStyle name="Normal 7 5 2 8" xfId="7677" xr:uid="{00000000-0005-0000-0000-000091260000}"/>
    <cellStyle name="Normal 7 5 2 9" xfId="9114" xr:uid="{00000000-0005-0000-0000-000092260000}"/>
    <cellStyle name="Normal 7 5 3" xfId="597" xr:uid="{00000000-0005-0000-0000-000093260000}"/>
    <cellStyle name="Normal 7 5 3 2" xfId="1076" xr:uid="{00000000-0005-0000-0000-000094260000}"/>
    <cellStyle name="Normal 7 5 3 2 2" xfId="2567" xr:uid="{00000000-0005-0000-0000-000095260000}"/>
    <cellStyle name="Normal 7 5 3 2 3" xfId="4010" xr:uid="{00000000-0005-0000-0000-000096260000}"/>
    <cellStyle name="Normal 7 5 3 2 4" xfId="5447" xr:uid="{00000000-0005-0000-0000-000097260000}"/>
    <cellStyle name="Normal 7 5 3 2 5" xfId="6893" xr:uid="{00000000-0005-0000-0000-000098260000}"/>
    <cellStyle name="Normal 7 5 3 2 6" xfId="8333" xr:uid="{00000000-0005-0000-0000-000099260000}"/>
    <cellStyle name="Normal 7 5 3 2 7" xfId="9767" xr:uid="{00000000-0005-0000-0000-00009A260000}"/>
    <cellStyle name="Normal 7 5 3 3" xfId="1626" xr:uid="{00000000-0005-0000-0000-00009B260000}"/>
    <cellStyle name="Normal 7 5 3 3 2" xfId="3097" xr:uid="{00000000-0005-0000-0000-00009C260000}"/>
    <cellStyle name="Normal 7 5 3 3 3" xfId="4534" xr:uid="{00000000-0005-0000-0000-00009D260000}"/>
    <cellStyle name="Normal 7 5 3 3 4" xfId="5971" xr:uid="{00000000-0005-0000-0000-00009E260000}"/>
    <cellStyle name="Normal 7 5 3 3 5" xfId="7417" xr:uid="{00000000-0005-0000-0000-00009F260000}"/>
    <cellStyle name="Normal 7 5 3 3 6" xfId="8858" xr:uid="{00000000-0005-0000-0000-0000A0260000}"/>
    <cellStyle name="Normal 7 5 3 3 7" xfId="10291" xr:uid="{00000000-0005-0000-0000-0000A1260000}"/>
    <cellStyle name="Normal 7 5 3 4" xfId="2096" xr:uid="{00000000-0005-0000-0000-0000A2260000}"/>
    <cellStyle name="Normal 7 5 3 5" xfId="3553" xr:uid="{00000000-0005-0000-0000-0000A3260000}"/>
    <cellStyle name="Normal 7 5 3 6" xfId="4990" xr:uid="{00000000-0005-0000-0000-0000A4260000}"/>
    <cellStyle name="Normal 7 5 3 7" xfId="6436" xr:uid="{00000000-0005-0000-0000-0000A5260000}"/>
    <cellStyle name="Normal 7 5 3 8" xfId="7875" xr:uid="{00000000-0005-0000-0000-0000A6260000}"/>
    <cellStyle name="Normal 7 5 3 9" xfId="9310" xr:uid="{00000000-0005-0000-0000-0000A7260000}"/>
    <cellStyle name="Normal 7 5 4" xfId="739" xr:uid="{00000000-0005-0000-0000-0000A8260000}"/>
    <cellStyle name="Normal 7 5 4 2" xfId="2230" xr:uid="{00000000-0005-0000-0000-0000A9260000}"/>
    <cellStyle name="Normal 7 5 4 3" xfId="3683" xr:uid="{00000000-0005-0000-0000-0000AA260000}"/>
    <cellStyle name="Normal 7 5 4 4" xfId="5120" xr:uid="{00000000-0005-0000-0000-0000AB260000}"/>
    <cellStyle name="Normal 7 5 4 5" xfId="6566" xr:uid="{00000000-0005-0000-0000-0000AC260000}"/>
    <cellStyle name="Normal 7 5 4 6" xfId="8006" xr:uid="{00000000-0005-0000-0000-0000AD260000}"/>
    <cellStyle name="Normal 7 5 4 7" xfId="9440" xr:uid="{00000000-0005-0000-0000-0000AE260000}"/>
    <cellStyle name="Normal 7 5 5" xfId="1295" xr:uid="{00000000-0005-0000-0000-0000AF260000}"/>
    <cellStyle name="Normal 7 5 5 2" xfId="2770" xr:uid="{00000000-0005-0000-0000-0000B0260000}"/>
    <cellStyle name="Normal 7 5 5 3" xfId="4207" xr:uid="{00000000-0005-0000-0000-0000B1260000}"/>
    <cellStyle name="Normal 7 5 5 4" xfId="5644" xr:uid="{00000000-0005-0000-0000-0000B2260000}"/>
    <cellStyle name="Normal 7 5 5 5" xfId="7090" xr:uid="{00000000-0005-0000-0000-0000B3260000}"/>
    <cellStyle name="Normal 7 5 5 6" xfId="8531" xr:uid="{00000000-0005-0000-0000-0000B4260000}"/>
    <cellStyle name="Normal 7 5 5 7" xfId="9964" xr:uid="{00000000-0005-0000-0000-0000B5260000}"/>
    <cellStyle name="Normal 7 5 6" xfId="1769" xr:uid="{00000000-0005-0000-0000-0000B6260000}"/>
    <cellStyle name="Normal 7 5 7" xfId="3226" xr:uid="{00000000-0005-0000-0000-0000B7260000}"/>
    <cellStyle name="Normal 7 5 8" xfId="4663" xr:uid="{00000000-0005-0000-0000-0000B8260000}"/>
    <cellStyle name="Normal 7 5 9" xfId="6109" xr:uid="{00000000-0005-0000-0000-0000B9260000}"/>
    <cellStyle name="Normal 7 6" xfId="324" xr:uid="{00000000-0005-0000-0000-0000BA260000}"/>
    <cellStyle name="Normal 7 6 2" xfId="806" xr:uid="{00000000-0005-0000-0000-0000BB260000}"/>
    <cellStyle name="Normal 7 6 2 2" xfId="2297" xr:uid="{00000000-0005-0000-0000-0000BC260000}"/>
    <cellStyle name="Normal 7 6 2 3" xfId="3748" xr:uid="{00000000-0005-0000-0000-0000BD260000}"/>
    <cellStyle name="Normal 7 6 2 4" xfId="5185" xr:uid="{00000000-0005-0000-0000-0000BE260000}"/>
    <cellStyle name="Normal 7 6 2 5" xfId="6631" xr:uid="{00000000-0005-0000-0000-0000BF260000}"/>
    <cellStyle name="Normal 7 6 2 6" xfId="8071" xr:uid="{00000000-0005-0000-0000-0000C0260000}"/>
    <cellStyle name="Normal 7 6 2 7" xfId="9505" xr:uid="{00000000-0005-0000-0000-0000C1260000}"/>
    <cellStyle name="Normal 7 6 3" xfId="1360" xr:uid="{00000000-0005-0000-0000-0000C2260000}"/>
    <cellStyle name="Normal 7 6 3 2" xfId="2835" xr:uid="{00000000-0005-0000-0000-0000C3260000}"/>
    <cellStyle name="Normal 7 6 3 3" xfId="4272" xr:uid="{00000000-0005-0000-0000-0000C4260000}"/>
    <cellStyle name="Normal 7 6 3 4" xfId="5709" xr:uid="{00000000-0005-0000-0000-0000C5260000}"/>
    <cellStyle name="Normal 7 6 3 5" xfId="7155" xr:uid="{00000000-0005-0000-0000-0000C6260000}"/>
    <cellStyle name="Normal 7 6 3 6" xfId="8596" xr:uid="{00000000-0005-0000-0000-0000C7260000}"/>
    <cellStyle name="Normal 7 6 3 7" xfId="10029" xr:uid="{00000000-0005-0000-0000-0000C8260000}"/>
    <cellStyle name="Normal 7 6 4" xfId="1834" xr:uid="{00000000-0005-0000-0000-0000C9260000}"/>
    <cellStyle name="Normal 7 6 5" xfId="3291" xr:uid="{00000000-0005-0000-0000-0000CA260000}"/>
    <cellStyle name="Normal 7 6 6" xfId="4728" xr:uid="{00000000-0005-0000-0000-0000CB260000}"/>
    <cellStyle name="Normal 7 6 7" xfId="6174" xr:uid="{00000000-0005-0000-0000-0000CC260000}"/>
    <cellStyle name="Normal 7 6 8" xfId="7612" xr:uid="{00000000-0005-0000-0000-0000CD260000}"/>
    <cellStyle name="Normal 7 6 9" xfId="9050" xr:uid="{00000000-0005-0000-0000-0000CE260000}"/>
    <cellStyle name="Normal 7 7" xfId="467" xr:uid="{00000000-0005-0000-0000-0000CF260000}"/>
    <cellStyle name="Normal 7 7 2" xfId="946" xr:uid="{00000000-0005-0000-0000-0000D0260000}"/>
    <cellStyle name="Normal 7 7 2 2" xfId="2437" xr:uid="{00000000-0005-0000-0000-0000D1260000}"/>
    <cellStyle name="Normal 7 7 2 3" xfId="3884" xr:uid="{00000000-0005-0000-0000-0000D2260000}"/>
    <cellStyle name="Normal 7 7 2 4" xfId="5321" xr:uid="{00000000-0005-0000-0000-0000D3260000}"/>
    <cellStyle name="Normal 7 7 2 5" xfId="6767" xr:uid="{00000000-0005-0000-0000-0000D4260000}"/>
    <cellStyle name="Normal 7 7 2 6" xfId="8207" xr:uid="{00000000-0005-0000-0000-0000D5260000}"/>
    <cellStyle name="Normal 7 7 2 7" xfId="9641" xr:uid="{00000000-0005-0000-0000-0000D6260000}"/>
    <cellStyle name="Normal 7 7 3" xfId="1498" xr:uid="{00000000-0005-0000-0000-0000D7260000}"/>
    <cellStyle name="Normal 7 7 3 2" xfId="2971" xr:uid="{00000000-0005-0000-0000-0000D8260000}"/>
    <cellStyle name="Normal 7 7 3 3" xfId="4408" xr:uid="{00000000-0005-0000-0000-0000D9260000}"/>
    <cellStyle name="Normal 7 7 3 4" xfId="5845" xr:uid="{00000000-0005-0000-0000-0000DA260000}"/>
    <cellStyle name="Normal 7 7 3 5" xfId="7291" xr:uid="{00000000-0005-0000-0000-0000DB260000}"/>
    <cellStyle name="Normal 7 7 3 6" xfId="8732" xr:uid="{00000000-0005-0000-0000-0000DC260000}"/>
    <cellStyle name="Normal 7 7 3 7" xfId="10165" xr:uid="{00000000-0005-0000-0000-0000DD260000}"/>
    <cellStyle name="Normal 7 7 4" xfId="1970" xr:uid="{00000000-0005-0000-0000-0000DE260000}"/>
    <cellStyle name="Normal 7 7 5" xfId="3427" xr:uid="{00000000-0005-0000-0000-0000DF260000}"/>
    <cellStyle name="Normal 7 7 6" xfId="4864" xr:uid="{00000000-0005-0000-0000-0000E0260000}"/>
    <cellStyle name="Normal 7 7 7" xfId="6310" xr:uid="{00000000-0005-0000-0000-0000E1260000}"/>
    <cellStyle name="Normal 7 7 8" xfId="7748" xr:uid="{00000000-0005-0000-0000-0000E2260000}"/>
    <cellStyle name="Normal 7 7 9" xfId="9185" xr:uid="{00000000-0005-0000-0000-0000E3260000}"/>
    <cellStyle name="Normal 7 8" xfId="528" xr:uid="{00000000-0005-0000-0000-0000E4260000}"/>
    <cellStyle name="Normal 7 8 2" xfId="1007" xr:uid="{00000000-0005-0000-0000-0000E5260000}"/>
    <cellStyle name="Normal 7 8 2 2" xfId="2498" xr:uid="{00000000-0005-0000-0000-0000E6260000}"/>
    <cellStyle name="Normal 7 8 2 3" xfId="3945" xr:uid="{00000000-0005-0000-0000-0000E7260000}"/>
    <cellStyle name="Normal 7 8 2 4" xfId="5382" xr:uid="{00000000-0005-0000-0000-0000E8260000}"/>
    <cellStyle name="Normal 7 8 2 5" xfId="6828" xr:uid="{00000000-0005-0000-0000-0000E9260000}"/>
    <cellStyle name="Normal 7 8 2 6" xfId="8268" xr:uid="{00000000-0005-0000-0000-0000EA260000}"/>
    <cellStyle name="Normal 7 8 2 7" xfId="9702" xr:uid="{00000000-0005-0000-0000-0000EB260000}"/>
    <cellStyle name="Normal 7 8 3" xfId="1559" xr:uid="{00000000-0005-0000-0000-0000EC260000}"/>
    <cellStyle name="Normal 7 8 3 2" xfId="3032" xr:uid="{00000000-0005-0000-0000-0000ED260000}"/>
    <cellStyle name="Normal 7 8 3 3" xfId="4469" xr:uid="{00000000-0005-0000-0000-0000EE260000}"/>
    <cellStyle name="Normal 7 8 3 4" xfId="5906" xr:uid="{00000000-0005-0000-0000-0000EF260000}"/>
    <cellStyle name="Normal 7 8 3 5" xfId="7352" xr:uid="{00000000-0005-0000-0000-0000F0260000}"/>
    <cellStyle name="Normal 7 8 3 6" xfId="8793" xr:uid="{00000000-0005-0000-0000-0000F1260000}"/>
    <cellStyle name="Normal 7 8 3 7" xfId="10226" xr:uid="{00000000-0005-0000-0000-0000F2260000}"/>
    <cellStyle name="Normal 7 8 4" xfId="2031" xr:uid="{00000000-0005-0000-0000-0000F3260000}"/>
    <cellStyle name="Normal 7 8 5" xfId="3488" xr:uid="{00000000-0005-0000-0000-0000F4260000}"/>
    <cellStyle name="Normal 7 8 6" xfId="4925" xr:uid="{00000000-0005-0000-0000-0000F5260000}"/>
    <cellStyle name="Normal 7 8 7" xfId="6371" xr:uid="{00000000-0005-0000-0000-0000F6260000}"/>
    <cellStyle name="Normal 7 8 8" xfId="7809" xr:uid="{00000000-0005-0000-0000-0000F7260000}"/>
    <cellStyle name="Normal 7 8 9" xfId="9246" xr:uid="{00000000-0005-0000-0000-0000F8260000}"/>
    <cellStyle name="Normal 7 9" xfId="670" xr:uid="{00000000-0005-0000-0000-0000F9260000}"/>
    <cellStyle name="Normal 7 9 2" xfId="2161" xr:uid="{00000000-0005-0000-0000-0000FA260000}"/>
    <cellStyle name="Normal 7 9 3" xfId="3618" xr:uid="{00000000-0005-0000-0000-0000FB260000}"/>
    <cellStyle name="Normal 7 9 4" xfId="5055" xr:uid="{00000000-0005-0000-0000-0000FC260000}"/>
    <cellStyle name="Normal 7 9 5" xfId="6501" xr:uid="{00000000-0005-0000-0000-0000FD260000}"/>
    <cellStyle name="Normal 7 9 6" xfId="7940" xr:uid="{00000000-0005-0000-0000-0000FE260000}"/>
    <cellStyle name="Normal 7 9 7" xfId="9375" xr:uid="{00000000-0005-0000-0000-0000FF260000}"/>
    <cellStyle name="Normal 8" xfId="70" xr:uid="{00000000-0005-0000-0000-000000270000}"/>
    <cellStyle name="Normal 8 2" xfId="114" xr:uid="{00000000-0005-0000-0000-000001270000}"/>
    <cellStyle name="Normal 8 2 2" xfId="214" xr:uid="{00000000-0005-0000-0000-000002270000}"/>
    <cellStyle name="Normal 8 3" xfId="172" xr:uid="{00000000-0005-0000-0000-000003270000}"/>
    <cellStyle name="Normal 9" xfId="71" xr:uid="{00000000-0005-0000-0000-000004270000}"/>
    <cellStyle name="Normal 9 2" xfId="72" xr:uid="{00000000-0005-0000-0000-000005270000}"/>
    <cellStyle name="Normal 9 2 2" xfId="115" xr:uid="{00000000-0005-0000-0000-000006270000}"/>
    <cellStyle name="Normal 9 2 2 2" xfId="215" xr:uid="{00000000-0005-0000-0000-000007270000}"/>
    <cellStyle name="Normal 9 2 3" xfId="174" xr:uid="{00000000-0005-0000-0000-000008270000}"/>
    <cellStyle name="Normal 9 3" xfId="173" xr:uid="{00000000-0005-0000-0000-000009270000}"/>
    <cellStyle name="Notas 2" xfId="73" xr:uid="{00000000-0005-0000-0000-00000A270000}"/>
    <cellStyle name="Notas 2 2" xfId="318" xr:uid="{00000000-0005-0000-0000-00000B270000}"/>
    <cellStyle name="Notas 2 2 2" xfId="456" xr:uid="{00000000-0005-0000-0000-00000C270000}"/>
    <cellStyle name="Notas 2 2 2 2" xfId="660" xr:uid="{00000000-0005-0000-0000-00000D270000}"/>
    <cellStyle name="Notas 2 2 2 2 2" xfId="1151" xr:uid="{00000000-0005-0000-0000-00000E270000}"/>
    <cellStyle name="Notas 2 2 2 2 2 2" xfId="1697" xr:uid="{00000000-0005-0000-0000-00000F270000}"/>
    <cellStyle name="Notas 2 2 2 2 3" xfId="1139" xr:uid="{00000000-0005-0000-0000-000010270000}"/>
    <cellStyle name="Notas 2 2 2 2 3 2" xfId="2630" xr:uid="{00000000-0005-0000-0000-000011270000}"/>
    <cellStyle name="Notas 2 2 2 3" xfId="666" xr:uid="{00000000-0005-0000-0000-000012270000}"/>
    <cellStyle name="Notas 2 2 2 3 2" xfId="1155" xr:uid="{00000000-0005-0000-0000-000013270000}"/>
    <cellStyle name="Notas 2 2 2 3 2 2" xfId="1701" xr:uid="{00000000-0005-0000-0000-000014270000}"/>
    <cellStyle name="Notas 2 2 2 3 3" xfId="1143" xr:uid="{00000000-0005-0000-0000-000015270000}"/>
    <cellStyle name="Notas 2 2 2 3 3 2" xfId="2634" xr:uid="{00000000-0005-0000-0000-000016270000}"/>
    <cellStyle name="Notas 2 2 2 4" xfId="1147" xr:uid="{00000000-0005-0000-0000-000017270000}"/>
    <cellStyle name="Notas 2 2 2 4 2" xfId="1693" xr:uid="{00000000-0005-0000-0000-000018270000}"/>
    <cellStyle name="Notas 2 2 2 5" xfId="802" xr:uid="{00000000-0005-0000-0000-000019270000}"/>
    <cellStyle name="Notas 2 2 2 5 2" xfId="2293" xr:uid="{00000000-0005-0000-0000-00001A270000}"/>
    <cellStyle name="Notas 2 2 3" xfId="387" xr:uid="{00000000-0005-0000-0000-00001B270000}"/>
    <cellStyle name="Notas 2 2 3 2" xfId="1145" xr:uid="{00000000-0005-0000-0000-00001C270000}"/>
    <cellStyle name="Notas 2 2 3 2 2" xfId="1691" xr:uid="{00000000-0005-0000-0000-00001D270000}"/>
    <cellStyle name="Notas 2 2 3 3" xfId="869" xr:uid="{00000000-0005-0000-0000-00001E270000}"/>
    <cellStyle name="Notas 2 2 3 3 2" xfId="2360" xr:uid="{00000000-0005-0000-0000-00001F270000}"/>
    <cellStyle name="Notas 2 2 4" xfId="591" xr:uid="{00000000-0005-0000-0000-000020270000}"/>
    <cellStyle name="Notas 2 2 4 2" xfId="1149" xr:uid="{00000000-0005-0000-0000-000021270000}"/>
    <cellStyle name="Notas 2 2 4 2 2" xfId="1695" xr:uid="{00000000-0005-0000-0000-000022270000}"/>
    <cellStyle name="Notas 2 2 4 3" xfId="1070" xr:uid="{00000000-0005-0000-0000-000023270000}"/>
    <cellStyle name="Notas 2 2 4 3 2" xfId="2561" xr:uid="{00000000-0005-0000-0000-000024270000}"/>
    <cellStyle name="Notas 2 2 5" xfId="662" xr:uid="{00000000-0005-0000-0000-000025270000}"/>
    <cellStyle name="Notas 2 2 5 2" xfId="1153" xr:uid="{00000000-0005-0000-0000-000026270000}"/>
    <cellStyle name="Notas 2 2 5 2 2" xfId="1699" xr:uid="{00000000-0005-0000-0000-000027270000}"/>
    <cellStyle name="Notas 2 2 6" xfId="733" xr:uid="{00000000-0005-0000-0000-000028270000}"/>
    <cellStyle name="Notas 2 2 6 2" xfId="2224" xr:uid="{00000000-0005-0000-0000-000029270000}"/>
    <cellStyle name="Notas 2 2 7" xfId="1289" xr:uid="{00000000-0005-0000-0000-00002A270000}"/>
    <cellStyle name="Percent 10" xfId="1239" xr:uid="{00000000-0005-0000-0000-00002B270000}"/>
    <cellStyle name="Percent 10 2" xfId="2718" xr:uid="{00000000-0005-0000-0000-00002C270000}"/>
    <cellStyle name="Percent 10 3" xfId="4155" xr:uid="{00000000-0005-0000-0000-00002D270000}"/>
    <cellStyle name="Percent 10 4" xfId="5592" xr:uid="{00000000-0005-0000-0000-00002E270000}"/>
    <cellStyle name="Percent 10 5" xfId="7038" xr:uid="{00000000-0005-0000-0000-00002F270000}"/>
    <cellStyle name="Percent 10 6" xfId="8479" xr:uid="{00000000-0005-0000-0000-000030270000}"/>
    <cellStyle name="Percent 10 7" xfId="7481" xr:uid="{00000000-0005-0000-0000-000031270000}"/>
    <cellStyle name="Percent 10 8" xfId="9912" xr:uid="{00000000-0005-0000-0000-000032270000}"/>
    <cellStyle name="Percent 11" xfId="253" xr:uid="{00000000-0005-0000-0000-000033270000}"/>
    <cellStyle name="Percent 2" xfId="74" xr:uid="{00000000-0005-0000-0000-000034270000}"/>
    <cellStyle name="Percent 2 2" xfId="84" xr:uid="{00000000-0005-0000-0000-000035270000}"/>
    <cellStyle name="Percent 3" xfId="83" xr:uid="{00000000-0005-0000-0000-000036270000}"/>
    <cellStyle name="Percent 4" xfId="7" xr:uid="{00000000-0005-0000-0000-000037270000}"/>
    <cellStyle name="Percent 5" xfId="233" xr:uid="{00000000-0005-0000-0000-000038270000}"/>
    <cellStyle name="Percent 5 10" xfId="3208" xr:uid="{00000000-0005-0000-0000-000039270000}"/>
    <cellStyle name="Percent 5 11" xfId="4645" xr:uid="{00000000-0005-0000-0000-00003A270000}"/>
    <cellStyle name="Percent 5 12" xfId="6091" xr:uid="{00000000-0005-0000-0000-00003B270000}"/>
    <cellStyle name="Percent 5 13" xfId="7529" xr:uid="{00000000-0005-0000-0000-00003C270000}"/>
    <cellStyle name="Percent 5 14" xfId="8969" xr:uid="{00000000-0005-0000-0000-00003D270000}"/>
    <cellStyle name="Percent 5 2" xfId="302" xr:uid="{00000000-0005-0000-0000-00003E270000}"/>
    <cellStyle name="Percent 5 2 10" xfId="7594" xr:uid="{00000000-0005-0000-0000-00003F270000}"/>
    <cellStyle name="Percent 5 2 11" xfId="9033" xr:uid="{00000000-0005-0000-0000-000040270000}"/>
    <cellStyle name="Percent 5 2 2" xfId="440" xr:uid="{00000000-0005-0000-0000-000041270000}"/>
    <cellStyle name="Percent 5 2 2 2" xfId="922" xr:uid="{00000000-0005-0000-0000-000042270000}"/>
    <cellStyle name="Percent 5 2 2 2 2" xfId="2413" xr:uid="{00000000-0005-0000-0000-000043270000}"/>
    <cellStyle name="Percent 5 2 2 2 3" xfId="3860" xr:uid="{00000000-0005-0000-0000-000044270000}"/>
    <cellStyle name="Percent 5 2 2 2 4" xfId="5297" xr:uid="{00000000-0005-0000-0000-000045270000}"/>
    <cellStyle name="Percent 5 2 2 2 5" xfId="6743" xr:uid="{00000000-0005-0000-0000-000046270000}"/>
    <cellStyle name="Percent 5 2 2 2 6" xfId="8183" xr:uid="{00000000-0005-0000-0000-000047270000}"/>
    <cellStyle name="Percent 5 2 2 2 7" xfId="9617" xr:uid="{00000000-0005-0000-0000-000048270000}"/>
    <cellStyle name="Percent 5 2 2 3" xfId="1474" xr:uid="{00000000-0005-0000-0000-000049270000}"/>
    <cellStyle name="Percent 5 2 2 3 2" xfId="2947" xr:uid="{00000000-0005-0000-0000-00004A270000}"/>
    <cellStyle name="Percent 5 2 2 3 3" xfId="4384" xr:uid="{00000000-0005-0000-0000-00004B270000}"/>
    <cellStyle name="Percent 5 2 2 3 4" xfId="5821" xr:uid="{00000000-0005-0000-0000-00004C270000}"/>
    <cellStyle name="Percent 5 2 2 3 5" xfId="7267" xr:uid="{00000000-0005-0000-0000-00004D270000}"/>
    <cellStyle name="Percent 5 2 2 3 6" xfId="8708" xr:uid="{00000000-0005-0000-0000-00004E270000}"/>
    <cellStyle name="Percent 5 2 2 3 7" xfId="10141" xr:uid="{00000000-0005-0000-0000-00004F270000}"/>
    <cellStyle name="Percent 5 2 2 4" xfId="1946" xr:uid="{00000000-0005-0000-0000-000050270000}"/>
    <cellStyle name="Percent 5 2 2 5" xfId="3403" xr:uid="{00000000-0005-0000-0000-000051270000}"/>
    <cellStyle name="Percent 5 2 2 6" xfId="4840" xr:uid="{00000000-0005-0000-0000-000052270000}"/>
    <cellStyle name="Percent 5 2 2 7" xfId="6286" xr:uid="{00000000-0005-0000-0000-000053270000}"/>
    <cellStyle name="Percent 5 2 2 8" xfId="7724" xr:uid="{00000000-0005-0000-0000-000054270000}"/>
    <cellStyle name="Percent 5 2 2 9" xfId="9161" xr:uid="{00000000-0005-0000-0000-000055270000}"/>
    <cellStyle name="Percent 5 2 3" xfId="644" xr:uid="{00000000-0005-0000-0000-000056270000}"/>
    <cellStyle name="Percent 5 2 3 2" xfId="1123" xr:uid="{00000000-0005-0000-0000-000057270000}"/>
    <cellStyle name="Percent 5 2 3 2 2" xfId="2614" xr:uid="{00000000-0005-0000-0000-000058270000}"/>
    <cellStyle name="Percent 5 2 3 2 3" xfId="4057" xr:uid="{00000000-0005-0000-0000-000059270000}"/>
    <cellStyle name="Percent 5 2 3 2 4" xfId="5494" xr:uid="{00000000-0005-0000-0000-00005A270000}"/>
    <cellStyle name="Percent 5 2 3 2 5" xfId="6940" xr:uid="{00000000-0005-0000-0000-00005B270000}"/>
    <cellStyle name="Percent 5 2 3 2 6" xfId="8380" xr:uid="{00000000-0005-0000-0000-00005C270000}"/>
    <cellStyle name="Percent 5 2 3 2 7" xfId="9814" xr:uid="{00000000-0005-0000-0000-00005D270000}"/>
    <cellStyle name="Percent 5 2 3 3" xfId="1673" xr:uid="{00000000-0005-0000-0000-00005E270000}"/>
    <cellStyle name="Percent 5 2 3 3 2" xfId="3144" xr:uid="{00000000-0005-0000-0000-00005F270000}"/>
    <cellStyle name="Percent 5 2 3 3 3" xfId="4581" xr:uid="{00000000-0005-0000-0000-000060270000}"/>
    <cellStyle name="Percent 5 2 3 3 4" xfId="6018" xr:uid="{00000000-0005-0000-0000-000061270000}"/>
    <cellStyle name="Percent 5 2 3 3 5" xfId="7464" xr:uid="{00000000-0005-0000-0000-000062270000}"/>
    <cellStyle name="Percent 5 2 3 3 6" xfId="8905" xr:uid="{00000000-0005-0000-0000-000063270000}"/>
    <cellStyle name="Percent 5 2 3 3 7" xfId="10338" xr:uid="{00000000-0005-0000-0000-000064270000}"/>
    <cellStyle name="Percent 5 2 3 4" xfId="2143" xr:uid="{00000000-0005-0000-0000-000065270000}"/>
    <cellStyle name="Percent 5 2 3 5" xfId="3600" xr:uid="{00000000-0005-0000-0000-000066270000}"/>
    <cellStyle name="Percent 5 2 3 6" xfId="5037" xr:uid="{00000000-0005-0000-0000-000067270000}"/>
    <cellStyle name="Percent 5 2 3 7" xfId="6483" xr:uid="{00000000-0005-0000-0000-000068270000}"/>
    <cellStyle name="Percent 5 2 3 8" xfId="7922" xr:uid="{00000000-0005-0000-0000-000069270000}"/>
    <cellStyle name="Percent 5 2 3 9" xfId="9357" xr:uid="{00000000-0005-0000-0000-00006A270000}"/>
    <cellStyle name="Percent 5 2 4" xfId="786" xr:uid="{00000000-0005-0000-0000-00006B270000}"/>
    <cellStyle name="Percent 5 2 4 2" xfId="2277" xr:uid="{00000000-0005-0000-0000-00006C270000}"/>
    <cellStyle name="Percent 5 2 4 3" xfId="3730" xr:uid="{00000000-0005-0000-0000-00006D270000}"/>
    <cellStyle name="Percent 5 2 4 4" xfId="5167" xr:uid="{00000000-0005-0000-0000-00006E270000}"/>
    <cellStyle name="Percent 5 2 4 5" xfId="6613" xr:uid="{00000000-0005-0000-0000-00006F270000}"/>
    <cellStyle name="Percent 5 2 4 6" xfId="8053" xr:uid="{00000000-0005-0000-0000-000070270000}"/>
    <cellStyle name="Percent 5 2 4 7" xfId="9487" xr:uid="{00000000-0005-0000-0000-000071270000}"/>
    <cellStyle name="Percent 5 2 5" xfId="1342" xr:uid="{00000000-0005-0000-0000-000072270000}"/>
    <cellStyle name="Percent 5 2 5 2" xfId="2817" xr:uid="{00000000-0005-0000-0000-000073270000}"/>
    <cellStyle name="Percent 5 2 5 3" xfId="4254" xr:uid="{00000000-0005-0000-0000-000074270000}"/>
    <cellStyle name="Percent 5 2 5 4" xfId="5691" xr:uid="{00000000-0005-0000-0000-000075270000}"/>
    <cellStyle name="Percent 5 2 5 5" xfId="7137" xr:uid="{00000000-0005-0000-0000-000076270000}"/>
    <cellStyle name="Percent 5 2 5 6" xfId="8578" xr:uid="{00000000-0005-0000-0000-000077270000}"/>
    <cellStyle name="Percent 5 2 5 7" xfId="10011" xr:uid="{00000000-0005-0000-0000-000078270000}"/>
    <cellStyle name="Percent 5 2 6" xfId="1816" xr:uid="{00000000-0005-0000-0000-000079270000}"/>
    <cellStyle name="Percent 5 2 7" xfId="3273" xr:uid="{00000000-0005-0000-0000-00007A270000}"/>
    <cellStyle name="Percent 5 2 8" xfId="4710" xr:uid="{00000000-0005-0000-0000-00007B270000}"/>
    <cellStyle name="Percent 5 2 9" xfId="6156" xr:uid="{00000000-0005-0000-0000-00007C270000}"/>
    <cellStyle name="Percent 5 3" xfId="371" xr:uid="{00000000-0005-0000-0000-00007D270000}"/>
    <cellStyle name="Percent 5 3 2" xfId="853" xr:uid="{00000000-0005-0000-0000-00007E270000}"/>
    <cellStyle name="Percent 5 3 2 2" xfId="2344" xr:uid="{00000000-0005-0000-0000-00007F270000}"/>
    <cellStyle name="Percent 5 3 2 3" xfId="3795" xr:uid="{00000000-0005-0000-0000-000080270000}"/>
    <cellStyle name="Percent 5 3 2 4" xfId="5232" xr:uid="{00000000-0005-0000-0000-000081270000}"/>
    <cellStyle name="Percent 5 3 2 5" xfId="6678" xr:uid="{00000000-0005-0000-0000-000082270000}"/>
    <cellStyle name="Percent 5 3 2 6" xfId="8118" xr:uid="{00000000-0005-0000-0000-000083270000}"/>
    <cellStyle name="Percent 5 3 2 7" xfId="9552" xr:uid="{00000000-0005-0000-0000-000084270000}"/>
    <cellStyle name="Percent 5 3 3" xfId="1407" xr:uid="{00000000-0005-0000-0000-000085270000}"/>
    <cellStyle name="Percent 5 3 3 2" xfId="2882" xr:uid="{00000000-0005-0000-0000-000086270000}"/>
    <cellStyle name="Percent 5 3 3 3" xfId="4319" xr:uid="{00000000-0005-0000-0000-000087270000}"/>
    <cellStyle name="Percent 5 3 3 4" xfId="5756" xr:uid="{00000000-0005-0000-0000-000088270000}"/>
    <cellStyle name="Percent 5 3 3 5" xfId="7202" xr:uid="{00000000-0005-0000-0000-000089270000}"/>
    <cellStyle name="Percent 5 3 3 6" xfId="8643" xr:uid="{00000000-0005-0000-0000-00008A270000}"/>
    <cellStyle name="Percent 5 3 3 7" xfId="10076" xr:uid="{00000000-0005-0000-0000-00008B270000}"/>
    <cellStyle name="Percent 5 3 4" xfId="1881" xr:uid="{00000000-0005-0000-0000-00008C270000}"/>
    <cellStyle name="Percent 5 3 5" xfId="3338" xr:uid="{00000000-0005-0000-0000-00008D270000}"/>
    <cellStyle name="Percent 5 3 6" xfId="4775" xr:uid="{00000000-0005-0000-0000-00008E270000}"/>
    <cellStyle name="Percent 5 3 7" xfId="6221" xr:uid="{00000000-0005-0000-0000-00008F270000}"/>
    <cellStyle name="Percent 5 3 8" xfId="7659" xr:uid="{00000000-0005-0000-0000-000090270000}"/>
    <cellStyle name="Percent 5 3 9" xfId="9096" xr:uid="{00000000-0005-0000-0000-000091270000}"/>
    <cellStyle name="Percent 5 4" xfId="510" xr:uid="{00000000-0005-0000-0000-000092270000}"/>
    <cellStyle name="Percent 5 4 2" xfId="989" xr:uid="{00000000-0005-0000-0000-000093270000}"/>
    <cellStyle name="Percent 5 4 2 2" xfId="2480" xr:uid="{00000000-0005-0000-0000-000094270000}"/>
    <cellStyle name="Percent 5 4 2 3" xfId="3927" xr:uid="{00000000-0005-0000-0000-000095270000}"/>
    <cellStyle name="Percent 5 4 2 4" xfId="5364" xr:uid="{00000000-0005-0000-0000-000096270000}"/>
    <cellStyle name="Percent 5 4 2 5" xfId="6810" xr:uid="{00000000-0005-0000-0000-000097270000}"/>
    <cellStyle name="Percent 5 4 2 6" xfId="8250" xr:uid="{00000000-0005-0000-0000-000098270000}"/>
    <cellStyle name="Percent 5 4 2 7" xfId="9684" xr:uid="{00000000-0005-0000-0000-000099270000}"/>
    <cellStyle name="Percent 5 4 3" xfId="1541" xr:uid="{00000000-0005-0000-0000-00009A270000}"/>
    <cellStyle name="Percent 5 4 3 2" xfId="3014" xr:uid="{00000000-0005-0000-0000-00009B270000}"/>
    <cellStyle name="Percent 5 4 3 3" xfId="4451" xr:uid="{00000000-0005-0000-0000-00009C270000}"/>
    <cellStyle name="Percent 5 4 3 4" xfId="5888" xr:uid="{00000000-0005-0000-0000-00009D270000}"/>
    <cellStyle name="Percent 5 4 3 5" xfId="7334" xr:uid="{00000000-0005-0000-0000-00009E270000}"/>
    <cellStyle name="Percent 5 4 3 6" xfId="8775" xr:uid="{00000000-0005-0000-0000-00009F270000}"/>
    <cellStyle name="Percent 5 4 3 7" xfId="10208" xr:uid="{00000000-0005-0000-0000-0000A0270000}"/>
    <cellStyle name="Percent 5 4 4" xfId="2013" xr:uid="{00000000-0005-0000-0000-0000A1270000}"/>
    <cellStyle name="Percent 5 4 5" xfId="3470" xr:uid="{00000000-0005-0000-0000-0000A2270000}"/>
    <cellStyle name="Percent 5 4 6" xfId="4907" xr:uid="{00000000-0005-0000-0000-0000A3270000}"/>
    <cellStyle name="Percent 5 4 7" xfId="6353" xr:uid="{00000000-0005-0000-0000-0000A4270000}"/>
    <cellStyle name="Percent 5 4 8" xfId="7791" xr:uid="{00000000-0005-0000-0000-0000A5270000}"/>
    <cellStyle name="Percent 5 4 9" xfId="9228" xr:uid="{00000000-0005-0000-0000-0000A6270000}"/>
    <cellStyle name="Percent 5 5" xfId="575" xr:uid="{00000000-0005-0000-0000-0000A7270000}"/>
    <cellStyle name="Percent 5 5 2" xfId="1054" xr:uid="{00000000-0005-0000-0000-0000A8270000}"/>
    <cellStyle name="Percent 5 5 2 2" xfId="2545" xr:uid="{00000000-0005-0000-0000-0000A9270000}"/>
    <cellStyle name="Percent 5 5 2 3" xfId="3992" xr:uid="{00000000-0005-0000-0000-0000AA270000}"/>
    <cellStyle name="Percent 5 5 2 4" xfId="5429" xr:uid="{00000000-0005-0000-0000-0000AB270000}"/>
    <cellStyle name="Percent 5 5 2 5" xfId="6875" xr:uid="{00000000-0005-0000-0000-0000AC270000}"/>
    <cellStyle name="Percent 5 5 2 6" xfId="8315" xr:uid="{00000000-0005-0000-0000-0000AD270000}"/>
    <cellStyle name="Percent 5 5 2 7" xfId="9749" xr:uid="{00000000-0005-0000-0000-0000AE270000}"/>
    <cellStyle name="Percent 5 5 3" xfId="1606" xr:uid="{00000000-0005-0000-0000-0000AF270000}"/>
    <cellStyle name="Percent 5 5 3 2" xfId="3079" xr:uid="{00000000-0005-0000-0000-0000B0270000}"/>
    <cellStyle name="Percent 5 5 3 3" xfId="4516" xr:uid="{00000000-0005-0000-0000-0000B1270000}"/>
    <cellStyle name="Percent 5 5 3 4" xfId="5953" xr:uid="{00000000-0005-0000-0000-0000B2270000}"/>
    <cellStyle name="Percent 5 5 3 5" xfId="7399" xr:uid="{00000000-0005-0000-0000-0000B3270000}"/>
    <cellStyle name="Percent 5 5 3 6" xfId="8840" xr:uid="{00000000-0005-0000-0000-0000B4270000}"/>
    <cellStyle name="Percent 5 5 3 7" xfId="10273" xr:uid="{00000000-0005-0000-0000-0000B5270000}"/>
    <cellStyle name="Percent 5 5 4" xfId="2078" xr:uid="{00000000-0005-0000-0000-0000B6270000}"/>
    <cellStyle name="Percent 5 5 5" xfId="3535" xr:uid="{00000000-0005-0000-0000-0000B7270000}"/>
    <cellStyle name="Percent 5 5 6" xfId="4972" xr:uid="{00000000-0005-0000-0000-0000B8270000}"/>
    <cellStyle name="Percent 5 5 7" xfId="6418" xr:uid="{00000000-0005-0000-0000-0000B9270000}"/>
    <cellStyle name="Percent 5 5 8" xfId="7856" xr:uid="{00000000-0005-0000-0000-0000BA270000}"/>
    <cellStyle name="Percent 5 5 9" xfId="9292" xr:uid="{00000000-0005-0000-0000-0000BB270000}"/>
    <cellStyle name="Percent 5 6" xfId="717" xr:uid="{00000000-0005-0000-0000-0000BC270000}"/>
    <cellStyle name="Percent 5 6 2" xfId="2208" xr:uid="{00000000-0005-0000-0000-0000BD270000}"/>
    <cellStyle name="Percent 5 6 3" xfId="3665" xr:uid="{00000000-0005-0000-0000-0000BE270000}"/>
    <cellStyle name="Percent 5 6 4" xfId="5102" xr:uid="{00000000-0005-0000-0000-0000BF270000}"/>
    <cellStyle name="Percent 5 6 5" xfId="6548" xr:uid="{00000000-0005-0000-0000-0000C0270000}"/>
    <cellStyle name="Percent 5 6 6" xfId="7987" xr:uid="{00000000-0005-0000-0000-0000C1270000}"/>
    <cellStyle name="Percent 5 6 7" xfId="9422" xr:uid="{00000000-0005-0000-0000-0000C2270000}"/>
    <cellStyle name="Percent 5 7" xfId="1208" xr:uid="{00000000-0005-0000-0000-0000C3270000}"/>
    <cellStyle name="Percent 5 7 2" xfId="2687" xr:uid="{00000000-0005-0000-0000-0000C4270000}"/>
    <cellStyle name="Percent 5 7 3" xfId="4124" xr:uid="{00000000-0005-0000-0000-0000C5270000}"/>
    <cellStyle name="Percent 5 7 4" xfId="5561" xr:uid="{00000000-0005-0000-0000-0000C6270000}"/>
    <cellStyle name="Percent 5 7 5" xfId="7007" xr:uid="{00000000-0005-0000-0000-0000C7270000}"/>
    <cellStyle name="Percent 5 7 6" xfId="8448" xr:uid="{00000000-0005-0000-0000-0000C8270000}"/>
    <cellStyle name="Percent 5 7 7" xfId="9881" xr:uid="{00000000-0005-0000-0000-0000C9270000}"/>
    <cellStyle name="Percent 5 8" xfId="1273" xr:uid="{00000000-0005-0000-0000-0000CA270000}"/>
    <cellStyle name="Percent 5 8 2" xfId="2752" xr:uid="{00000000-0005-0000-0000-0000CB270000}"/>
    <cellStyle name="Percent 5 8 3" xfId="4189" xr:uid="{00000000-0005-0000-0000-0000CC270000}"/>
    <cellStyle name="Percent 5 8 4" xfId="5626" xr:uid="{00000000-0005-0000-0000-0000CD270000}"/>
    <cellStyle name="Percent 5 8 5" xfId="7072" xr:uid="{00000000-0005-0000-0000-0000CE270000}"/>
    <cellStyle name="Percent 5 8 6" xfId="8513" xr:uid="{00000000-0005-0000-0000-0000CF270000}"/>
    <cellStyle name="Percent 5 8 7" xfId="9946" xr:uid="{00000000-0005-0000-0000-0000D0270000}"/>
    <cellStyle name="Percent 5 9" xfId="1751" xr:uid="{00000000-0005-0000-0000-0000D1270000}"/>
    <cellStyle name="Percent 6" xfId="249" xr:uid="{00000000-0005-0000-0000-0000D2270000}"/>
    <cellStyle name="Percent 6 10" xfId="4676" xr:uid="{00000000-0005-0000-0000-0000D3270000}"/>
    <cellStyle name="Percent 6 11" xfId="6122" xr:uid="{00000000-0005-0000-0000-0000D4270000}"/>
    <cellStyle name="Percent 6 12" xfId="7560" xr:uid="{00000000-0005-0000-0000-0000D5270000}"/>
    <cellStyle name="Percent 6 13" xfId="8999" xr:uid="{00000000-0005-0000-0000-0000D6270000}"/>
    <cellStyle name="Percent 6 2" xfId="406" xr:uid="{00000000-0005-0000-0000-0000D7270000}"/>
    <cellStyle name="Percent 6 2 2" xfId="888" xr:uid="{00000000-0005-0000-0000-0000D8270000}"/>
    <cellStyle name="Percent 6 2 2 2" xfId="2379" xr:uid="{00000000-0005-0000-0000-0000D9270000}"/>
    <cellStyle name="Percent 6 2 2 3" xfId="3826" xr:uid="{00000000-0005-0000-0000-0000DA270000}"/>
    <cellStyle name="Percent 6 2 2 4" xfId="5263" xr:uid="{00000000-0005-0000-0000-0000DB270000}"/>
    <cellStyle name="Percent 6 2 2 5" xfId="6709" xr:uid="{00000000-0005-0000-0000-0000DC270000}"/>
    <cellStyle name="Percent 6 2 2 6" xfId="8149" xr:uid="{00000000-0005-0000-0000-0000DD270000}"/>
    <cellStyle name="Percent 6 2 2 7" xfId="9583" xr:uid="{00000000-0005-0000-0000-0000DE270000}"/>
    <cellStyle name="Percent 6 2 3" xfId="1440" xr:uid="{00000000-0005-0000-0000-0000DF270000}"/>
    <cellStyle name="Percent 6 2 3 2" xfId="2913" xr:uid="{00000000-0005-0000-0000-0000E0270000}"/>
    <cellStyle name="Percent 6 2 3 3" xfId="4350" xr:uid="{00000000-0005-0000-0000-0000E1270000}"/>
    <cellStyle name="Percent 6 2 3 4" xfId="5787" xr:uid="{00000000-0005-0000-0000-0000E2270000}"/>
    <cellStyle name="Percent 6 2 3 5" xfId="7233" xr:uid="{00000000-0005-0000-0000-0000E3270000}"/>
    <cellStyle name="Percent 6 2 3 6" xfId="8674" xr:uid="{00000000-0005-0000-0000-0000E4270000}"/>
    <cellStyle name="Percent 6 2 3 7" xfId="10107" xr:uid="{00000000-0005-0000-0000-0000E5270000}"/>
    <cellStyle name="Percent 6 2 4" xfId="1912" xr:uid="{00000000-0005-0000-0000-0000E6270000}"/>
    <cellStyle name="Percent 6 2 5" xfId="3369" xr:uid="{00000000-0005-0000-0000-0000E7270000}"/>
    <cellStyle name="Percent 6 2 6" xfId="4806" xr:uid="{00000000-0005-0000-0000-0000E8270000}"/>
    <cellStyle name="Percent 6 2 7" xfId="6252" xr:uid="{00000000-0005-0000-0000-0000E9270000}"/>
    <cellStyle name="Percent 6 2 8" xfId="7690" xr:uid="{00000000-0005-0000-0000-0000EA270000}"/>
    <cellStyle name="Percent 6 2 9" xfId="9127" xr:uid="{00000000-0005-0000-0000-0000EB270000}"/>
    <cellStyle name="Percent 6 3" xfId="476" xr:uid="{00000000-0005-0000-0000-0000EC270000}"/>
    <cellStyle name="Percent 6 3 2" xfId="955" xr:uid="{00000000-0005-0000-0000-0000ED270000}"/>
    <cellStyle name="Percent 6 3 2 2" xfId="2446" xr:uid="{00000000-0005-0000-0000-0000EE270000}"/>
    <cellStyle name="Percent 6 3 2 3" xfId="3893" xr:uid="{00000000-0005-0000-0000-0000EF270000}"/>
    <cellStyle name="Percent 6 3 2 4" xfId="5330" xr:uid="{00000000-0005-0000-0000-0000F0270000}"/>
    <cellStyle name="Percent 6 3 2 5" xfId="6776" xr:uid="{00000000-0005-0000-0000-0000F1270000}"/>
    <cellStyle name="Percent 6 3 2 6" xfId="8216" xr:uid="{00000000-0005-0000-0000-0000F2270000}"/>
    <cellStyle name="Percent 6 3 2 7" xfId="9650" xr:uid="{00000000-0005-0000-0000-0000F3270000}"/>
    <cellStyle name="Percent 6 3 3" xfId="1507" xr:uid="{00000000-0005-0000-0000-0000F4270000}"/>
    <cellStyle name="Percent 6 3 3 2" xfId="2980" xr:uid="{00000000-0005-0000-0000-0000F5270000}"/>
    <cellStyle name="Percent 6 3 3 3" xfId="4417" xr:uid="{00000000-0005-0000-0000-0000F6270000}"/>
    <cellStyle name="Percent 6 3 3 4" xfId="5854" xr:uid="{00000000-0005-0000-0000-0000F7270000}"/>
    <cellStyle name="Percent 6 3 3 5" xfId="7300" xr:uid="{00000000-0005-0000-0000-0000F8270000}"/>
    <cellStyle name="Percent 6 3 3 6" xfId="8741" xr:uid="{00000000-0005-0000-0000-0000F9270000}"/>
    <cellStyle name="Percent 6 3 3 7" xfId="10174" xr:uid="{00000000-0005-0000-0000-0000FA270000}"/>
    <cellStyle name="Percent 6 3 4" xfId="1979" xr:uid="{00000000-0005-0000-0000-0000FB270000}"/>
    <cellStyle name="Percent 6 3 5" xfId="3436" xr:uid="{00000000-0005-0000-0000-0000FC270000}"/>
    <cellStyle name="Percent 6 3 6" xfId="4873" xr:uid="{00000000-0005-0000-0000-0000FD270000}"/>
    <cellStyle name="Percent 6 3 7" xfId="6319" xr:uid="{00000000-0005-0000-0000-0000FE270000}"/>
    <cellStyle name="Percent 6 3 8" xfId="7757" xr:uid="{00000000-0005-0000-0000-0000FF270000}"/>
    <cellStyle name="Percent 6 3 9" xfId="9194" xr:uid="{00000000-0005-0000-0000-000000280000}"/>
    <cellStyle name="Percent 6 4" xfId="610" xr:uid="{00000000-0005-0000-0000-000001280000}"/>
    <cellStyle name="Percent 6 4 2" xfId="1089" xr:uid="{00000000-0005-0000-0000-000002280000}"/>
    <cellStyle name="Percent 6 4 2 2" xfId="2580" xr:uid="{00000000-0005-0000-0000-000003280000}"/>
    <cellStyle name="Percent 6 4 2 3" xfId="4023" xr:uid="{00000000-0005-0000-0000-000004280000}"/>
    <cellStyle name="Percent 6 4 2 4" xfId="5460" xr:uid="{00000000-0005-0000-0000-000005280000}"/>
    <cellStyle name="Percent 6 4 2 5" xfId="6906" xr:uid="{00000000-0005-0000-0000-000006280000}"/>
    <cellStyle name="Percent 6 4 2 6" xfId="8346" xr:uid="{00000000-0005-0000-0000-000007280000}"/>
    <cellStyle name="Percent 6 4 2 7" xfId="9780" xr:uid="{00000000-0005-0000-0000-000008280000}"/>
    <cellStyle name="Percent 6 4 3" xfId="1639" xr:uid="{00000000-0005-0000-0000-000009280000}"/>
    <cellStyle name="Percent 6 4 3 2" xfId="3110" xr:uid="{00000000-0005-0000-0000-00000A280000}"/>
    <cellStyle name="Percent 6 4 3 3" xfId="4547" xr:uid="{00000000-0005-0000-0000-00000B280000}"/>
    <cellStyle name="Percent 6 4 3 4" xfId="5984" xr:uid="{00000000-0005-0000-0000-00000C280000}"/>
    <cellStyle name="Percent 6 4 3 5" xfId="7430" xr:uid="{00000000-0005-0000-0000-00000D280000}"/>
    <cellStyle name="Percent 6 4 3 6" xfId="8871" xr:uid="{00000000-0005-0000-0000-00000E280000}"/>
    <cellStyle name="Percent 6 4 3 7" xfId="10304" xr:uid="{00000000-0005-0000-0000-00000F280000}"/>
    <cellStyle name="Percent 6 4 4" xfId="2109" xr:uid="{00000000-0005-0000-0000-000010280000}"/>
    <cellStyle name="Percent 6 4 5" xfId="3566" xr:uid="{00000000-0005-0000-0000-000011280000}"/>
    <cellStyle name="Percent 6 4 6" xfId="5003" xr:uid="{00000000-0005-0000-0000-000012280000}"/>
    <cellStyle name="Percent 6 4 7" xfId="6449" xr:uid="{00000000-0005-0000-0000-000013280000}"/>
    <cellStyle name="Percent 6 4 8" xfId="7888" xr:uid="{00000000-0005-0000-0000-000014280000}"/>
    <cellStyle name="Percent 6 4 9" xfId="9323" xr:uid="{00000000-0005-0000-0000-000015280000}"/>
    <cellStyle name="Percent 6 5" xfId="752" xr:uid="{00000000-0005-0000-0000-000016280000}"/>
    <cellStyle name="Percent 6 5 2" xfId="2243" xr:uid="{00000000-0005-0000-0000-000017280000}"/>
    <cellStyle name="Percent 6 5 3" xfId="3696" xr:uid="{00000000-0005-0000-0000-000018280000}"/>
    <cellStyle name="Percent 6 5 4" xfId="5133" xr:uid="{00000000-0005-0000-0000-000019280000}"/>
    <cellStyle name="Percent 6 5 5" xfId="6579" xr:uid="{00000000-0005-0000-0000-00001A280000}"/>
    <cellStyle name="Percent 6 5 6" xfId="8019" xr:uid="{00000000-0005-0000-0000-00001B280000}"/>
    <cellStyle name="Percent 6 5 7" xfId="9453" xr:uid="{00000000-0005-0000-0000-00001C280000}"/>
    <cellStyle name="Percent 6 6" xfId="1174" xr:uid="{00000000-0005-0000-0000-00001D280000}"/>
    <cellStyle name="Percent 6 6 2" xfId="2653" xr:uid="{00000000-0005-0000-0000-00001E280000}"/>
    <cellStyle name="Percent 6 6 3" xfId="4090" xr:uid="{00000000-0005-0000-0000-00001F280000}"/>
    <cellStyle name="Percent 6 6 4" xfId="5527" xr:uid="{00000000-0005-0000-0000-000020280000}"/>
    <cellStyle name="Percent 6 6 5" xfId="6973" xr:uid="{00000000-0005-0000-0000-000021280000}"/>
    <cellStyle name="Percent 6 6 6" xfId="8414" xr:uid="{00000000-0005-0000-0000-000022280000}"/>
    <cellStyle name="Percent 6 6 7" xfId="9847" xr:uid="{00000000-0005-0000-0000-000023280000}"/>
    <cellStyle name="Percent 6 7" xfId="1308" xr:uid="{00000000-0005-0000-0000-000024280000}"/>
    <cellStyle name="Percent 6 7 2" xfId="2783" xr:uid="{00000000-0005-0000-0000-000025280000}"/>
    <cellStyle name="Percent 6 7 3" xfId="4220" xr:uid="{00000000-0005-0000-0000-000026280000}"/>
    <cellStyle name="Percent 6 7 4" xfId="5657" xr:uid="{00000000-0005-0000-0000-000027280000}"/>
    <cellStyle name="Percent 6 7 5" xfId="7103" xr:uid="{00000000-0005-0000-0000-000028280000}"/>
    <cellStyle name="Percent 6 7 6" xfId="8544" xr:uid="{00000000-0005-0000-0000-000029280000}"/>
    <cellStyle name="Percent 6 7 7" xfId="9977" xr:uid="{00000000-0005-0000-0000-00002A280000}"/>
    <cellStyle name="Percent 6 8" xfId="1782" xr:uid="{00000000-0005-0000-0000-00002B280000}"/>
    <cellStyle name="Percent 6 9" xfId="3239" xr:uid="{00000000-0005-0000-0000-00002C280000}"/>
    <cellStyle name="Percent 7" xfId="337" xr:uid="{00000000-0005-0000-0000-00002D280000}"/>
    <cellStyle name="Percent 7 10" xfId="6037" xr:uid="{00000000-0005-0000-0000-00002E280000}"/>
    <cellStyle name="Percent 7 2" xfId="819" xr:uid="{00000000-0005-0000-0000-00002F280000}"/>
    <cellStyle name="Percent 7 2 2" xfId="2310" xr:uid="{00000000-0005-0000-0000-000030280000}"/>
    <cellStyle name="Percent 7 2 3" xfId="3761" xr:uid="{00000000-0005-0000-0000-000031280000}"/>
    <cellStyle name="Percent 7 2 4" xfId="5198" xr:uid="{00000000-0005-0000-0000-000032280000}"/>
    <cellStyle name="Percent 7 2 5" xfId="6644" xr:uid="{00000000-0005-0000-0000-000033280000}"/>
    <cellStyle name="Percent 7 2 6" xfId="8084" xr:uid="{00000000-0005-0000-0000-000034280000}"/>
    <cellStyle name="Percent 7 2 7" xfId="9518" xr:uid="{00000000-0005-0000-0000-000035280000}"/>
    <cellStyle name="Percent 7 3" xfId="1373" xr:uid="{00000000-0005-0000-0000-000036280000}"/>
    <cellStyle name="Percent 7 3 2" xfId="2848" xr:uid="{00000000-0005-0000-0000-000037280000}"/>
    <cellStyle name="Percent 7 3 3" xfId="4285" xr:uid="{00000000-0005-0000-0000-000038280000}"/>
    <cellStyle name="Percent 7 3 4" xfId="5722" xr:uid="{00000000-0005-0000-0000-000039280000}"/>
    <cellStyle name="Percent 7 3 5" xfId="7168" xr:uid="{00000000-0005-0000-0000-00003A280000}"/>
    <cellStyle name="Percent 7 3 6" xfId="8609" xr:uid="{00000000-0005-0000-0000-00003B280000}"/>
    <cellStyle name="Percent 7 3 7" xfId="10042" xr:uid="{00000000-0005-0000-0000-00003C280000}"/>
    <cellStyle name="Percent 7 4" xfId="1847" xr:uid="{00000000-0005-0000-0000-00003D280000}"/>
    <cellStyle name="Percent 7 5" xfId="3304" xr:uid="{00000000-0005-0000-0000-00003E280000}"/>
    <cellStyle name="Percent 7 6" xfId="4741" xr:uid="{00000000-0005-0000-0000-00003F280000}"/>
    <cellStyle name="Percent 7 7" xfId="6187" xr:uid="{00000000-0005-0000-0000-000040280000}"/>
    <cellStyle name="Percent 7 8" xfId="7625" xr:uid="{00000000-0005-0000-0000-000041280000}"/>
    <cellStyle name="Percent 7 9" xfId="6040" xr:uid="{00000000-0005-0000-0000-000042280000}"/>
    <cellStyle name="Percent 8" xfId="541" xr:uid="{00000000-0005-0000-0000-000043280000}"/>
    <cellStyle name="Percent 8 10" xfId="6035" xr:uid="{00000000-0005-0000-0000-000044280000}"/>
    <cellStyle name="Percent 8 2" xfId="1020" xr:uid="{00000000-0005-0000-0000-000045280000}"/>
    <cellStyle name="Percent 8 2 2" xfId="2511" xr:uid="{00000000-0005-0000-0000-000046280000}"/>
    <cellStyle name="Percent 8 2 3" xfId="3958" xr:uid="{00000000-0005-0000-0000-000047280000}"/>
    <cellStyle name="Percent 8 2 4" xfId="5395" xr:uid="{00000000-0005-0000-0000-000048280000}"/>
    <cellStyle name="Percent 8 2 5" xfId="6841" xr:uid="{00000000-0005-0000-0000-000049280000}"/>
    <cellStyle name="Percent 8 2 6" xfId="8281" xr:uid="{00000000-0005-0000-0000-00004A280000}"/>
    <cellStyle name="Percent 8 2 7" xfId="9715" xr:uid="{00000000-0005-0000-0000-00004B280000}"/>
    <cellStyle name="Percent 8 3" xfId="1572" xr:uid="{00000000-0005-0000-0000-00004C280000}"/>
    <cellStyle name="Percent 8 3 2" xfId="3045" xr:uid="{00000000-0005-0000-0000-00004D280000}"/>
    <cellStyle name="Percent 8 3 3" xfId="4482" xr:uid="{00000000-0005-0000-0000-00004E280000}"/>
    <cellStyle name="Percent 8 3 4" xfId="5919" xr:uid="{00000000-0005-0000-0000-00004F280000}"/>
    <cellStyle name="Percent 8 3 5" xfId="7365" xr:uid="{00000000-0005-0000-0000-000050280000}"/>
    <cellStyle name="Percent 8 3 6" xfId="8806" xr:uid="{00000000-0005-0000-0000-000051280000}"/>
    <cellStyle name="Percent 8 3 7" xfId="10239" xr:uid="{00000000-0005-0000-0000-000052280000}"/>
    <cellStyle name="Percent 8 4" xfId="2044" xr:uid="{00000000-0005-0000-0000-000053280000}"/>
    <cellStyle name="Percent 8 5" xfId="3501" xr:uid="{00000000-0005-0000-0000-000054280000}"/>
    <cellStyle name="Percent 8 6" xfId="4938" xr:uid="{00000000-0005-0000-0000-000055280000}"/>
    <cellStyle name="Percent 8 7" xfId="6384" xr:uid="{00000000-0005-0000-0000-000056280000}"/>
    <cellStyle name="Percent 8 8" xfId="7822" xr:uid="{00000000-0005-0000-0000-000057280000}"/>
    <cellStyle name="Percent 8 9" xfId="6041" xr:uid="{00000000-0005-0000-0000-000058280000}"/>
    <cellStyle name="Percent 9" xfId="683" xr:uid="{00000000-0005-0000-0000-000059280000}"/>
    <cellStyle name="Percent 9 2" xfId="2174" xr:uid="{00000000-0005-0000-0000-00005A280000}"/>
    <cellStyle name="Percent 9 3" xfId="3631" xr:uid="{00000000-0005-0000-0000-00005B280000}"/>
    <cellStyle name="Percent 9 4" xfId="5068" xr:uid="{00000000-0005-0000-0000-00005C280000}"/>
    <cellStyle name="Percent 9 5" xfId="6514" xr:uid="{00000000-0005-0000-0000-00005D280000}"/>
    <cellStyle name="Percent 9 6" xfId="7953" xr:uid="{00000000-0005-0000-0000-00005E280000}"/>
    <cellStyle name="Percent 9 7" xfId="9388" xr:uid="{00000000-0005-0000-0000-00005F280000}"/>
    <cellStyle name="Porcentaje 2" xfId="10355" xr:uid="{00000000-0005-0000-0000-000060280000}"/>
    <cellStyle name="Porcentual 2" xfId="75" xr:uid="{00000000-0005-0000-0000-000061280000}"/>
    <cellStyle name="Porcentual 2 2" xfId="116" xr:uid="{00000000-0005-0000-0000-000062280000}"/>
    <cellStyle name="Porcentual 2 2 2" xfId="216" xr:uid="{00000000-0005-0000-0000-000063280000}"/>
    <cellStyle name="Porcentual 2 3" xfId="175" xr:uid="{00000000-0005-0000-0000-000064280000}"/>
    <cellStyle name="Texto de advertencia 2" xfId="76" xr:uid="{00000000-0005-0000-0000-000065280000}"/>
    <cellStyle name="Título" xfId="10376" builtinId="15"/>
    <cellStyle name="Total 2" xfId="77" xr:uid="{00000000-0005-0000-0000-000066280000}"/>
    <cellStyle name="Total 2 2" xfId="320" xr:uid="{00000000-0005-0000-0000-000067280000}"/>
    <cellStyle name="Total 2 2 2" xfId="389" xr:uid="{00000000-0005-0000-0000-000068280000}"/>
    <cellStyle name="Total 2 2 2 2" xfId="871" xr:uid="{00000000-0005-0000-0000-000069280000}"/>
    <cellStyle name="Total 2 2 2 2 2" xfId="2362" xr:uid="{00000000-0005-0000-0000-00006A280000}"/>
    <cellStyle name="Total 2 2 2 3" xfId="1423" xr:uid="{00000000-0005-0000-0000-00006B280000}"/>
    <cellStyle name="Total 2 2 3" xfId="593" xr:uid="{00000000-0005-0000-0000-00006C280000}"/>
    <cellStyle name="Total 2 2 3 2" xfId="1072" xr:uid="{00000000-0005-0000-0000-00006D280000}"/>
    <cellStyle name="Total 2 2 3 2 2" xfId="2563" xr:uid="{00000000-0005-0000-0000-00006E280000}"/>
    <cellStyle name="Total 2 2 3 3" xfId="1622" xr:uid="{00000000-0005-0000-0000-00006F280000}"/>
    <cellStyle name="Total 2 2 4" xfId="664" xr:uid="{00000000-0005-0000-0000-000070280000}"/>
    <cellStyle name="Total 2 2 4 2" xfId="1141" xr:uid="{00000000-0005-0000-0000-000071280000}"/>
    <cellStyle name="Total 2 2 4 2 2" xfId="2632" xr:uid="{00000000-0005-0000-0000-000072280000}"/>
    <cellStyle name="Total 2 2 4 3" xfId="1689" xr:uid="{00000000-0005-0000-0000-000073280000}"/>
    <cellStyle name="Total 2 2 5" xfId="735" xr:uid="{00000000-0005-0000-0000-000074280000}"/>
    <cellStyle name="Total 2 2 5 2" xfId="2226" xr:uid="{00000000-0005-0000-0000-000075280000}"/>
    <cellStyle name="Total 2 2 6" xfId="1291" xr:uid="{00000000-0005-0000-0000-000076280000}"/>
    <cellStyle name="Total 3" xfId="319" xr:uid="{00000000-0005-0000-0000-000077280000}"/>
    <cellStyle name="Total 3 2" xfId="388" xr:uid="{00000000-0005-0000-0000-000078280000}"/>
    <cellStyle name="Total 3 2 2" xfId="870" xr:uid="{00000000-0005-0000-0000-000079280000}"/>
    <cellStyle name="Total 3 2 2 2" xfId="2361" xr:uid="{00000000-0005-0000-0000-00007A280000}"/>
    <cellStyle name="Total 3 2 3" xfId="1422" xr:uid="{00000000-0005-0000-0000-00007B280000}"/>
    <cellStyle name="Total 3 3" xfId="592" xr:uid="{00000000-0005-0000-0000-00007C280000}"/>
    <cellStyle name="Total 3 3 2" xfId="1071" xr:uid="{00000000-0005-0000-0000-00007D280000}"/>
    <cellStyle name="Total 3 3 2 2" xfId="2562" xr:uid="{00000000-0005-0000-0000-00007E280000}"/>
    <cellStyle name="Total 3 3 3" xfId="1621" xr:uid="{00000000-0005-0000-0000-00007F280000}"/>
    <cellStyle name="Total 3 4" xfId="663" xr:uid="{00000000-0005-0000-0000-000080280000}"/>
    <cellStyle name="Total 3 4 2" xfId="1140" xr:uid="{00000000-0005-0000-0000-000081280000}"/>
    <cellStyle name="Total 3 4 2 2" xfId="2631" xr:uid="{00000000-0005-0000-0000-000082280000}"/>
    <cellStyle name="Total 3 4 3" xfId="1688" xr:uid="{00000000-0005-0000-0000-000083280000}"/>
    <cellStyle name="Total 3 5" xfId="734" xr:uid="{00000000-0005-0000-0000-000084280000}"/>
    <cellStyle name="Total 3 5 2" xfId="2225" xr:uid="{00000000-0005-0000-0000-000085280000}"/>
    <cellStyle name="Total 3 6" xfId="1290" xr:uid="{00000000-0005-0000-0000-000086280000}"/>
    <cellStyle name="Total 4" xfId="254" xr:uid="{00000000-0005-0000-0000-000087280000}"/>
  </cellStyles>
  <dxfs count="1">
    <dxf>
      <font>
        <color theme="1" tint="0.499984740745262"/>
      </font>
    </dxf>
  </dxfs>
  <tableStyles count="1" defaultTableStyle="TableStyleMedium2" defaultPivotStyle="PivotStyleLight16">
    <tableStyle name="Table Style 1" pivot="0" count="1" xr9:uid="{00000000-0011-0000-FFFF-FFFF00000000}">
      <tableStyleElement type="totalRow" dxfId="0"/>
    </tableStyle>
  </tableStyles>
  <colors>
    <mruColors>
      <color rgb="FF232323"/>
      <color rgb="FFE8E5DE"/>
      <color rgb="FFA8A39D"/>
      <color rgb="FFD9D2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hyperlink" Target="https://pay.hotmart.com/K67516725J?off=q1t58t5o&amp;checkoutMode=10&amp;src=18hp_a22&amp;_hi=eyJjaWQiOiIxNjMzMzU0NjIwNTgyMTkzNzQxODg5OTE1MjQ3ODcwIiwiYmlkIjoiMTYzMzM1NDYyMDU4MjE5Mzc0MTg4OTkxNTI0Nzg3MCIsInNpZCI6IjQwZWEwYjcwNTY3ZjQyNTQ4ZTgxOTVhNWZmZjU3Nzc0In0%3D.1661879105362&amp;bid=1661879107882" TargetMode="External"/><Relationship Id="rId7" Type="http://schemas.openxmlformats.org/officeDocument/2006/relationships/hyperlink" Target="https://fabiangonzalezh.com/libros/" TargetMode="External"/><Relationship Id="rId12" Type="http://schemas.openxmlformats.org/officeDocument/2006/relationships/image" Target="../media/image7.tiff"/><Relationship Id="rId2" Type="http://schemas.openxmlformats.org/officeDocument/2006/relationships/image" Target="../media/image2.jpeg"/><Relationship Id="rId1" Type="http://schemas.openxmlformats.org/officeDocument/2006/relationships/hyperlink" Target="https://www.youtube.com/watch?v=a0eAVUu7Mx8&amp;list=PLEXm7gAfOxh4ULJGi5LWUEgWa4OLp3SDy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calendly.com/fabiangonzalezh/sesionestrategica/" TargetMode="External"/><Relationship Id="rId5" Type="http://schemas.openxmlformats.org/officeDocument/2006/relationships/hyperlink" Target="https://mkt.escuelaexpertosemprendedores.com/sp/oferta-productividad-y-gestion-de-proyectos/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https://mkt.escuelaexpertosemprendedores.com/masterclass-productividad/inscripcion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70251</xdr:colOff>
      <xdr:row>0</xdr:row>
      <xdr:rowOff>42336</xdr:rowOff>
    </xdr:from>
    <xdr:to>
      <xdr:col>1</xdr:col>
      <xdr:colOff>929581</xdr:colOff>
      <xdr:row>2</xdr:row>
      <xdr:rowOff>127243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D55A66-3966-474E-B327-5A1C8E81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1" y="42336"/>
          <a:ext cx="1301069" cy="4162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37</xdr:row>
      <xdr:rowOff>152400</xdr:rowOff>
    </xdr:from>
    <xdr:to>
      <xdr:col>2</xdr:col>
      <xdr:colOff>3708400</xdr:colOff>
      <xdr:row>48</xdr:row>
      <xdr:rowOff>114300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8B4E59-6E1B-6B46-9A9F-E1F48C16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899400"/>
          <a:ext cx="3657600" cy="20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56</xdr:row>
      <xdr:rowOff>88901</xdr:rowOff>
    </xdr:from>
    <xdr:to>
      <xdr:col>2</xdr:col>
      <xdr:colOff>4914900</xdr:colOff>
      <xdr:row>64</xdr:row>
      <xdr:rowOff>162997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E42C16-ABEF-DD4D-B09D-C50052E88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1" y="11569701"/>
          <a:ext cx="4914899" cy="1598096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68</xdr:row>
      <xdr:rowOff>114300</xdr:rowOff>
    </xdr:from>
    <xdr:to>
      <xdr:col>2</xdr:col>
      <xdr:colOff>4978400</xdr:colOff>
      <xdr:row>76</xdr:row>
      <xdr:rowOff>6287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C91CB-EB67-784C-89B5-1811437A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99" y="14262100"/>
          <a:ext cx="4991101" cy="14159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177800</xdr:rowOff>
    </xdr:from>
    <xdr:to>
      <xdr:col>2</xdr:col>
      <xdr:colOff>2031903</xdr:colOff>
      <xdr:row>96</xdr:row>
      <xdr:rowOff>152400</xdr:rowOff>
    </xdr:to>
    <xdr:pic>
      <xdr:nvPicPr>
        <xdr:cNvPr id="9" name="Imag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7797247-0A7C-744E-8F2D-896118D01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3665200"/>
          <a:ext cx="2031903" cy="3213100"/>
        </a:xfrm>
        <a:prstGeom prst="rect">
          <a:avLst/>
        </a:prstGeom>
        <a:ln w="317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177800</xdr:colOff>
      <xdr:row>22</xdr:row>
      <xdr:rowOff>0</xdr:rowOff>
    </xdr:from>
    <xdr:to>
      <xdr:col>2</xdr:col>
      <xdr:colOff>5067300</xdr:colOff>
      <xdr:row>34</xdr:row>
      <xdr:rowOff>31104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389E61-2FF7-CB4C-8E85-597611730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0"/>
        <a:stretch/>
      </xdr:blipFill>
      <xdr:spPr>
        <a:xfrm>
          <a:off x="419100" y="4343400"/>
          <a:ext cx="5130800" cy="2317104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3</xdr:row>
      <xdr:rowOff>76200</xdr:rowOff>
    </xdr:from>
    <xdr:to>
      <xdr:col>2</xdr:col>
      <xdr:colOff>5029200</xdr:colOff>
      <xdr:row>18</xdr:row>
      <xdr:rowOff>75538</xdr:rowOff>
    </xdr:to>
    <xdr:pic>
      <xdr:nvPicPr>
        <xdr:cNvPr id="2" name="Imagen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A94DC17-993A-6C46-A822-0B5019D9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8001" y="901700"/>
          <a:ext cx="5003799" cy="24758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fabiangonzalezh.com/libros/" TargetMode="External"/><Relationship Id="rId2" Type="http://schemas.openxmlformats.org/officeDocument/2006/relationships/hyperlink" Target="https://mkt.escuelaexpertosemprendedores.com/sp/oferta-productividad-y-gestion-de-proyectos/" TargetMode="External"/><Relationship Id="rId1" Type="http://schemas.openxmlformats.org/officeDocument/2006/relationships/hyperlink" Target="https://pay.hotmart.com/K67516725J?off=92g6wbtf&amp;checkoutMode=10&amp;src=18hp_eg22&amp;_hi=eyJjaWQiOiIxNjMzMzU0NjIwNTgyMTkzNzQxODg5OTE1MjQ3ODcwIiwiYmlkIjoiMTYzMzM1NDYyMDU4MjE5Mzc0MTg4OTkxNTI0Nzg3MCIsInNpZCI6IjQwZWEwYjcwNTY3ZjQyNTQ4ZTgxOTVhNWZmZjU3Nzc0In0%3D.1661859652321&amp;bid=1661859658610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youtube.com/watch?v=a0eAVUu7Mx8&amp;list=PLEXm7gAfOxh4ULJGi5LWUEgWa4OLp3SDy" TargetMode="External"/><Relationship Id="rId4" Type="http://schemas.openxmlformats.org/officeDocument/2006/relationships/hyperlink" Target="https://mkt.escuelaexpertosemprendedores.com/masterclass-productividad/inscripc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449FB-0A69-F34C-A9A5-2B1431BF0651}">
  <dimension ref="B1:AF42"/>
  <sheetViews>
    <sheetView workbookViewId="0">
      <selection activeCell="AH4" sqref="AH4"/>
    </sheetView>
  </sheetViews>
  <sheetFormatPr baseColWidth="10" defaultColWidth="9.1640625" defaultRowHeight="14" x14ac:dyDescent="0.15"/>
  <cols>
    <col min="1" max="1" width="2.6640625" style="173" customWidth="1"/>
    <col min="2" max="32" width="4.33203125" style="173" customWidth="1"/>
    <col min="33" max="33" width="2.6640625" style="173" customWidth="1"/>
    <col min="34" max="16384" width="9.1640625" style="173"/>
  </cols>
  <sheetData>
    <row r="1" spans="2:32" ht="49" x14ac:dyDescent="0.15">
      <c r="B1" s="177">
        <v>2023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</row>
    <row r="2" spans="2:32" ht="20" thickBot="1" x14ac:dyDescent="0.2">
      <c r="B2" s="176" t="s">
        <v>77</v>
      </c>
      <c r="C2" s="176"/>
      <c r="D2" s="176"/>
      <c r="E2" s="176"/>
      <c r="F2" s="176"/>
      <c r="G2" s="176"/>
      <c r="H2" s="176"/>
      <c r="J2" s="176" t="s">
        <v>78</v>
      </c>
      <c r="K2" s="176"/>
      <c r="L2" s="176"/>
      <c r="M2" s="176"/>
      <c r="N2" s="176"/>
      <c r="O2" s="176"/>
      <c r="P2" s="176"/>
      <c r="R2" s="176" t="s">
        <v>79</v>
      </c>
      <c r="S2" s="176"/>
      <c r="T2" s="176"/>
      <c r="U2" s="176"/>
      <c r="V2" s="176"/>
      <c r="W2" s="176"/>
      <c r="X2" s="176"/>
      <c r="Z2" s="176" t="s">
        <v>80</v>
      </c>
      <c r="AA2" s="176"/>
      <c r="AB2" s="176"/>
      <c r="AC2" s="176"/>
      <c r="AD2" s="176"/>
      <c r="AE2" s="176"/>
      <c r="AF2" s="176"/>
    </row>
    <row r="3" spans="2:32" ht="18" customHeight="1" thickTop="1" x14ac:dyDescent="0.15">
      <c r="B3" s="174" t="s">
        <v>81</v>
      </c>
      <c r="C3" s="174" t="s">
        <v>82</v>
      </c>
      <c r="D3" s="174" t="s">
        <v>83</v>
      </c>
      <c r="E3" s="174" t="s">
        <v>84</v>
      </c>
      <c r="F3" s="174" t="s">
        <v>85</v>
      </c>
      <c r="G3" s="174" t="s">
        <v>86</v>
      </c>
      <c r="H3" s="174" t="s">
        <v>87</v>
      </c>
      <c r="J3" s="174" t="s">
        <v>81</v>
      </c>
      <c r="K3" s="174" t="s">
        <v>82</v>
      </c>
      <c r="L3" s="174" t="s">
        <v>83</v>
      </c>
      <c r="M3" s="174" t="s">
        <v>84</v>
      </c>
      <c r="N3" s="174" t="s">
        <v>85</v>
      </c>
      <c r="O3" s="174" t="s">
        <v>86</v>
      </c>
      <c r="P3" s="174" t="s">
        <v>87</v>
      </c>
      <c r="R3" s="174" t="s">
        <v>81</v>
      </c>
      <c r="S3" s="174" t="s">
        <v>82</v>
      </c>
      <c r="T3" s="174" t="s">
        <v>83</v>
      </c>
      <c r="U3" s="174" t="s">
        <v>84</v>
      </c>
      <c r="V3" s="174" t="s">
        <v>85</v>
      </c>
      <c r="W3" s="174" t="s">
        <v>86</v>
      </c>
      <c r="X3" s="174" t="s">
        <v>87</v>
      </c>
      <c r="Z3" s="174" t="s">
        <v>81</v>
      </c>
      <c r="AA3" s="174" t="s">
        <v>82</v>
      </c>
      <c r="AB3" s="174" t="s">
        <v>83</v>
      </c>
      <c r="AC3" s="174" t="s">
        <v>84</v>
      </c>
      <c r="AD3" s="174" t="s">
        <v>85</v>
      </c>
      <c r="AE3" s="174" t="s">
        <v>86</v>
      </c>
      <c r="AF3" s="174" t="s">
        <v>87</v>
      </c>
    </row>
    <row r="4" spans="2:32" ht="18" customHeight="1" x14ac:dyDescent="0.15">
      <c r="B4" s="35">
        <f>IF(AND(YEAR(JanSun1)=Año,MONTH(JanSun1)=1),JanSun1, "")</f>
        <v>44928</v>
      </c>
      <c r="C4" s="35">
        <f>IF(AND(YEAR(JanSun1+1)=Año,MONTH(JanSun1+1)=1),JanSun1+1, "")</f>
        <v>44929</v>
      </c>
      <c r="D4" s="35">
        <f>IF(AND(YEAR(JanSun1+2)=Año,MONTH(JanSun1+2)=1),JanSun1+2, "")</f>
        <v>44930</v>
      </c>
      <c r="E4" s="35">
        <f>IF(AND(YEAR(JanSun1+3)=Año,MONTH(JanSun1+3)=1),JanSun1+3, "")</f>
        <v>44931</v>
      </c>
      <c r="F4" s="35">
        <f>IF(AND(YEAR(JanSun1+4)=Año,MONTH(JanSun1+4)=1),JanSun1+4, "")</f>
        <v>44932</v>
      </c>
      <c r="G4" s="35">
        <f>IF(AND(YEAR(JanSun1+5)=Año,MONTH(JanSun1+5)=1),JanSun1+5, "")</f>
        <v>44933</v>
      </c>
      <c r="H4" s="35">
        <f>IF(AND(YEAR(JanSun1+6)=Año,MONTH(JanSun1+6)=1),JanSun1+6, "")</f>
        <v>44934</v>
      </c>
      <c r="J4" s="35" t="str">
        <f>IF(AND(YEAR(AprSun1)=Año,MONTH(AprSun1)=4),AprSun1, "")</f>
        <v/>
      </c>
      <c r="K4" s="35" t="str">
        <f>IF(AND(YEAR(AprSun1+1)=Año,MONTH(AprSun1+1)=4),AprSun1+1, "")</f>
        <v/>
      </c>
      <c r="L4" s="35" t="str">
        <f>IF(AND(YEAR(AprSun1+2)=Año,MONTH(AprSun1+2)=4),AprSun1+2, "")</f>
        <v/>
      </c>
      <c r="M4" s="35" t="str">
        <f>IF(AND(YEAR(AprSun1+3)=Año,MONTH(AprSun1+3)=4),AprSun1+3, "")</f>
        <v/>
      </c>
      <c r="N4" s="35" t="str">
        <f>IF(AND(YEAR(AprSun1+4)=Año,MONTH(AprSun1+4)=4),AprSun1+4, "")</f>
        <v/>
      </c>
      <c r="O4" s="35">
        <f>IF(AND(YEAR(AprSun1+5)=Año,MONTH(AprSun1+5)=4),AprSun1+5, "")</f>
        <v>45017</v>
      </c>
      <c r="P4" s="35">
        <f>IF(AND(YEAR(AprSun1+6)=Año,MONTH(AprSun1+6)=4),AprSun1+6, "")</f>
        <v>45018</v>
      </c>
      <c r="R4" s="35" t="str">
        <f>IF(AND(YEAR(JulSun1)=Año,MONTH(JulSun1)=7),JulSun1, "")</f>
        <v/>
      </c>
      <c r="S4" s="35" t="str">
        <f>IF(AND(YEAR(JulSun1+1)=Año,MONTH(JulSun1+1)=7),JulSun1+1, "")</f>
        <v/>
      </c>
      <c r="T4" s="35" t="str">
        <f>IF(AND(YEAR(JulSun1+2)=Año,MONTH(JulSun1+2)=7),JulSun1+2, "")</f>
        <v/>
      </c>
      <c r="U4" s="35" t="str">
        <f>IF(AND(YEAR(JulSun1+3)=Año,MONTH(JulSun1+3)=7),JulSun1+3, "")</f>
        <v/>
      </c>
      <c r="V4" s="35" t="str">
        <f>IF(AND(YEAR(JulSun1+4)=Año,MONTH(JulSun1+4)=7),JulSun1+4, "")</f>
        <v/>
      </c>
      <c r="W4" s="35">
        <f>IF(AND(YEAR(JulSun1+5)=Año,MONTH(JulSun1+5)=7),JulSun1+5, "")</f>
        <v>45108</v>
      </c>
      <c r="X4" s="35">
        <f>IF(AND(YEAR(JulSun1+6)=Año,MONTH(JulSun1+6)=7),JulSun1+6, "")</f>
        <v>45109</v>
      </c>
      <c r="Z4" s="35">
        <f>IF(AND(YEAR(OctSun1)=Año,MONTH(OctSun1)=10),OctSun1, "")</f>
        <v>45201</v>
      </c>
      <c r="AA4" s="35">
        <f>IF(AND(YEAR(OctSun1+1)=Año,MONTH(OctSun1+1)=10),OctSun1+1, "")</f>
        <v>45202</v>
      </c>
      <c r="AB4" s="35">
        <f>IF(AND(YEAR(OctSun1+2)=Año,MONTH(OctSun1+2)=10),OctSun1+2, "")</f>
        <v>45203</v>
      </c>
      <c r="AC4" s="35">
        <f>IF(AND(YEAR(OctSun1+3)=Año,MONTH(OctSun1+3)=10),OctSun1+3, "")</f>
        <v>45204</v>
      </c>
      <c r="AD4" s="35">
        <f>IF(AND(YEAR(OctSun1+4)=Año,MONTH(OctSun1+4)=10),OctSun1+4, "")</f>
        <v>45205</v>
      </c>
      <c r="AE4" s="35">
        <f>IF(AND(YEAR(OctSun1+5)=Año,MONTH(OctSun1+5)=10),OctSun1+5, "")</f>
        <v>45206</v>
      </c>
      <c r="AF4" s="35">
        <f>IF(AND(YEAR(OctSun1+6)=Año,MONTH(OctSun1+6)=10),OctSun1+6, "")</f>
        <v>45207</v>
      </c>
    </row>
    <row r="5" spans="2:32" ht="18" customHeight="1" x14ac:dyDescent="0.15">
      <c r="B5" s="35">
        <f>IF(AND(YEAR(JanSun1+7)=Año,MONTH(JanSun1+7)=1),JanSun1+7, "")</f>
        <v>44935</v>
      </c>
      <c r="C5" s="35">
        <f>IF(AND(YEAR(JanSun1+8)=Año,MONTH(JanSun1+8)=1),JanSun1+8, "")</f>
        <v>44936</v>
      </c>
      <c r="D5" s="35">
        <f>IF(AND(YEAR(JanSun1+9)=Año,MONTH(JanSun1+9)=1),JanSun1+9, "")</f>
        <v>44937</v>
      </c>
      <c r="E5" s="35">
        <f>IF(AND(YEAR(JanSun1+10)=Año,MONTH(JanSun1+10)=1),JanSun1+10, "")</f>
        <v>44938</v>
      </c>
      <c r="F5" s="35">
        <f>IF(AND(YEAR(JanSun1+11)=Año,MONTH(JanSun1+11)=1),JanSun1+11, "")</f>
        <v>44939</v>
      </c>
      <c r="G5" s="35">
        <f>IF(AND(YEAR(JanSun1+12)=Año,MONTH(JanSun1+12)=1),JanSun1+12, "")</f>
        <v>44940</v>
      </c>
      <c r="H5" s="35">
        <f>IF(AND(YEAR(JanSun1+13)=Año,MONTH(JanSun1+13)=1),JanSun1+13, "")</f>
        <v>44941</v>
      </c>
      <c r="J5" s="35">
        <f>IF(AND(YEAR(AprSun1+7)=Año,MONTH(AprSun1+7)=4),AprSun1+7, "")</f>
        <v>45019</v>
      </c>
      <c r="K5" s="35">
        <f>IF(AND(YEAR(AprSun1+8)=Año,MONTH(AprSun1+8)=4),AprSun1+8, "")</f>
        <v>45020</v>
      </c>
      <c r="L5" s="35">
        <f>IF(AND(YEAR(AprSun1+9)=Año,MONTH(AprSun1+9)=4),AprSun1+9, "")</f>
        <v>45021</v>
      </c>
      <c r="M5" s="35">
        <f>IF(AND(YEAR(AprSun1+10)=Año,MONTH(AprSun1+10)=4),AprSun1+10, "")</f>
        <v>45022</v>
      </c>
      <c r="N5" s="35">
        <f>IF(AND(YEAR(AprSun1+11)=Año,MONTH(AprSun1+11)=4),AprSun1+11, "")</f>
        <v>45023</v>
      </c>
      <c r="O5" s="35">
        <f>IF(AND(YEAR(AprSun1+12)=Año,MONTH(AprSun1+12)=4),AprSun1+12, "")</f>
        <v>45024</v>
      </c>
      <c r="P5" s="35">
        <f>IF(AND(YEAR(AprSun1+13)=Año,MONTH(AprSun1+13)=4),AprSun1+13, "")</f>
        <v>45025</v>
      </c>
      <c r="R5" s="35">
        <f>IF(AND(YEAR(JulSun1+7)=Año,MONTH(JulSun1+7)=7),JulSun1+7, "")</f>
        <v>45110</v>
      </c>
      <c r="S5" s="35">
        <f>IF(AND(YEAR(JulSun1+8)=Año,MONTH(JulSun1+8)=7),JulSun1+8, "")</f>
        <v>45111</v>
      </c>
      <c r="T5" s="35">
        <f>IF(AND(YEAR(JulSun1+9)=Año,MONTH(JulSun1+9)=7),JulSun1+9, "")</f>
        <v>45112</v>
      </c>
      <c r="U5" s="35">
        <f>IF(AND(YEAR(JulSun1+10)=Año,MONTH(JulSun1+10)=7),JulSun1+10, "")</f>
        <v>45113</v>
      </c>
      <c r="V5" s="35">
        <f>IF(AND(YEAR(JulSun1+11)=Año,MONTH(JulSun1+11)=7),JulSun1+11, "")</f>
        <v>45114</v>
      </c>
      <c r="W5" s="35">
        <f>IF(AND(YEAR(JulSun1+12)=Año,MONTH(JulSun1+12)=7),JulSun1+12, "")</f>
        <v>45115</v>
      </c>
      <c r="X5" s="35">
        <f>IF(AND(YEAR(JulSun1+13)=Año,MONTH(JulSun1+13)=7),JulSun1+13, "")</f>
        <v>45116</v>
      </c>
      <c r="Z5" s="35">
        <f>IF(AND(YEAR(OctSun1+7)=Año,MONTH(OctSun1+7)=10),OctSun1+7, "")</f>
        <v>45208</v>
      </c>
      <c r="AA5" s="35">
        <f>IF(AND(YEAR(OctSun1+8)=Año,MONTH(OctSun1+8)=10),OctSun1+8, "")</f>
        <v>45209</v>
      </c>
      <c r="AB5" s="35">
        <f>IF(AND(YEAR(OctSun1+9)=Año,MONTH(OctSun1+9)=10),OctSun1+9, "")</f>
        <v>45210</v>
      </c>
      <c r="AC5" s="35">
        <f>IF(AND(YEAR(OctSun1+10)=Año,MONTH(OctSun1+10)=10),OctSun1+10, "")</f>
        <v>45211</v>
      </c>
      <c r="AD5" s="35">
        <f>IF(AND(YEAR(OctSun1+11)=Año,MONTH(OctSun1+11)=10),OctSun1+11, "")</f>
        <v>45212</v>
      </c>
      <c r="AE5" s="35">
        <f>IF(AND(YEAR(OctSun1+12)=Año,MONTH(OctSun1+12)=10),OctSun1+12, "")</f>
        <v>45213</v>
      </c>
      <c r="AF5" s="35">
        <f>IF(AND(YEAR(OctSun1+13)=Año,MONTH(OctSun1+13)=10),OctSun1+13, "")</f>
        <v>45214</v>
      </c>
    </row>
    <row r="6" spans="2:32" ht="18" customHeight="1" x14ac:dyDescent="0.15">
      <c r="B6" s="35">
        <f>IF(AND(YEAR(JanSun1+14)=Año,MONTH(JanSun1+14)=1),JanSun1+14, "")</f>
        <v>44942</v>
      </c>
      <c r="C6" s="35">
        <f>IF(AND(YEAR(JanSun1+15)=Año,MONTH(JanSun1+15)=1),JanSun1+15, "")</f>
        <v>44943</v>
      </c>
      <c r="D6" s="35">
        <f>IF(AND(YEAR(JanSun1+16)=Año,MONTH(JanSun1+16)=1),JanSun1+16, "")</f>
        <v>44944</v>
      </c>
      <c r="E6" s="35">
        <f>IF(AND(YEAR(JanSun1+17)=Año,MONTH(JanSun1+17)=1),JanSun1+17, "")</f>
        <v>44945</v>
      </c>
      <c r="F6" s="35">
        <f>IF(AND(YEAR(JanSun1+18)=Año,MONTH(JanSun1+18)=1),JanSun1+18, "")</f>
        <v>44946</v>
      </c>
      <c r="G6" s="35">
        <f>IF(AND(YEAR(JanSun1+19)=Año,MONTH(JanSun1+19)=1),JanSun1+19, "")</f>
        <v>44947</v>
      </c>
      <c r="H6" s="35">
        <f>IF(AND(YEAR(JanSun1+20)=Año,MONTH(JanSun1+20)=1),JanSun1+20, "")</f>
        <v>44948</v>
      </c>
      <c r="J6" s="35">
        <f>IF(AND(YEAR(AprSun1+14)=Año,MONTH(AprSun1+14)=4),AprSun1+14, "")</f>
        <v>45026</v>
      </c>
      <c r="K6" s="35">
        <f>IF(AND(YEAR(AprSun1+15)=Año,MONTH(AprSun1+15)=4),AprSun1+15, "")</f>
        <v>45027</v>
      </c>
      <c r="L6" s="35">
        <f>IF(AND(YEAR(AprSun1+16)=Año,MONTH(AprSun1+16)=4),AprSun1+16, "")</f>
        <v>45028</v>
      </c>
      <c r="M6" s="35">
        <f>IF(AND(YEAR(AprSun1+17)=Año,MONTH(AprSun1+17)=4),AprSun1+17, "")</f>
        <v>45029</v>
      </c>
      <c r="N6" s="35">
        <f>IF(AND(YEAR(AprSun1+18)=Año,MONTH(AprSun1+18)=4),AprSun1+18, "")</f>
        <v>45030</v>
      </c>
      <c r="O6" s="35">
        <f>IF(AND(YEAR(AprSun1+19)=Año,MONTH(AprSun1+19)=4),AprSun1+19, "")</f>
        <v>45031</v>
      </c>
      <c r="P6" s="35">
        <f>IF(AND(YEAR(AprSun1+20)=Año,MONTH(AprSun1+20)=4),AprSun1+20, "")</f>
        <v>45032</v>
      </c>
      <c r="R6" s="35">
        <f>IF(AND(YEAR(JulSun1+14)=Año,MONTH(JulSun1+14)=7),JulSun1+14, "")</f>
        <v>45117</v>
      </c>
      <c r="S6" s="35">
        <f>IF(AND(YEAR(JulSun1+15)=Año,MONTH(JulSun1+15)=7),JulSun1+15, "")</f>
        <v>45118</v>
      </c>
      <c r="T6" s="35">
        <f>IF(AND(YEAR(JulSun1+16)=Año,MONTH(JulSun1+16)=7),JulSun1+16, "")</f>
        <v>45119</v>
      </c>
      <c r="U6" s="35">
        <f>IF(AND(YEAR(JulSun1+17)=Año,MONTH(JulSun1+17)=7),JulSun1+17, "")</f>
        <v>45120</v>
      </c>
      <c r="V6" s="35">
        <f>IF(AND(YEAR(JulSun1+18)=Año,MONTH(JulSun1+18)=7),JulSun1+18, "")</f>
        <v>45121</v>
      </c>
      <c r="W6" s="35">
        <f>IF(AND(YEAR(JulSun1+19)=Año,MONTH(JulSun1+19)=7),JulSun1+19, "")</f>
        <v>45122</v>
      </c>
      <c r="X6" s="35">
        <f>IF(AND(YEAR(JulSun1+20)=Año,MONTH(JulSun1+20)=7),JulSun1+20, "")</f>
        <v>45123</v>
      </c>
      <c r="Z6" s="35">
        <f>IF(AND(YEAR(OctSun1+14)=Año,MONTH(OctSun1+14)=10),OctSun1+14, "")</f>
        <v>45215</v>
      </c>
      <c r="AA6" s="35">
        <f>IF(AND(YEAR(OctSun1+15)=Año,MONTH(OctSun1+15)=10),OctSun1+15, "")</f>
        <v>45216</v>
      </c>
      <c r="AB6" s="35">
        <f>IF(AND(YEAR(OctSun1+16)=Año,MONTH(OctSun1+16)=10),OctSun1+16, "")</f>
        <v>45217</v>
      </c>
      <c r="AC6" s="35">
        <f>IF(AND(YEAR(OctSun1+17)=Año,MONTH(OctSun1+17)=10),OctSun1+17, "")</f>
        <v>45218</v>
      </c>
      <c r="AD6" s="35">
        <f>IF(AND(YEAR(OctSun1+18)=Año,MONTH(OctSun1+18)=10),OctSun1+18, "")</f>
        <v>45219</v>
      </c>
      <c r="AE6" s="35">
        <f>IF(AND(YEAR(OctSun1+19)=Año,MONTH(OctSun1+19)=10),OctSun1+19, "")</f>
        <v>45220</v>
      </c>
      <c r="AF6" s="35">
        <f>IF(AND(YEAR(OctSun1+20)=Año,MONTH(OctSun1+20)=10),OctSun1+20, "")</f>
        <v>45221</v>
      </c>
    </row>
    <row r="7" spans="2:32" ht="18" customHeight="1" x14ac:dyDescent="0.15">
      <c r="B7" s="35">
        <f>IF(AND(YEAR(JanSun1+21)=Año,MONTH(JanSun1+21)=1),JanSun1+21, "")</f>
        <v>44949</v>
      </c>
      <c r="C7" s="35">
        <f>IF(AND(YEAR(JanSun1+22)=Año,MONTH(JanSun1+22)=1),JanSun1+22, "")</f>
        <v>44950</v>
      </c>
      <c r="D7" s="35">
        <f>IF(AND(YEAR(JanSun1+23)=Año,MONTH(JanSun1+23)=1),JanSun1+23, "")</f>
        <v>44951</v>
      </c>
      <c r="E7" s="35">
        <f>IF(AND(YEAR(JanSun1+24)=Año,MONTH(JanSun1+24)=1),JanSun1+24, "")</f>
        <v>44952</v>
      </c>
      <c r="F7" s="35">
        <f>IF(AND(YEAR(JanSun1+25)=Año,MONTH(JanSun1+25)=1),JanSun1+25, "")</f>
        <v>44953</v>
      </c>
      <c r="G7" s="35">
        <f>IF(AND(YEAR(JanSun1+26)=Año,MONTH(JanSun1+26)=1),JanSun1+26, "")</f>
        <v>44954</v>
      </c>
      <c r="H7" s="35">
        <f>IF(AND(YEAR(JanSun1+27)=Año,MONTH(JanSun1+27)=1),JanSun1+27, "")</f>
        <v>44955</v>
      </c>
      <c r="J7" s="35">
        <f>IF(AND(YEAR(AprSun1+21)=Año,MONTH(AprSun1+21)=4),AprSun1+21, "")</f>
        <v>45033</v>
      </c>
      <c r="K7" s="35">
        <f>IF(AND(YEAR(AprSun1+22)=Año,MONTH(AprSun1+22)=4),AprSun1+22, "")</f>
        <v>45034</v>
      </c>
      <c r="L7" s="35">
        <f>IF(AND(YEAR(AprSun1+23)=Año,MONTH(AprSun1+23)=4),AprSun1+23, "")</f>
        <v>45035</v>
      </c>
      <c r="M7" s="35">
        <f>IF(AND(YEAR(AprSun1+24)=Año,MONTH(AprSun1+24)=4),AprSun1+24, "")</f>
        <v>45036</v>
      </c>
      <c r="N7" s="35">
        <f>IF(AND(YEAR(AprSun1+25)=Año,MONTH(AprSun1+25)=4),AprSun1+25, "")</f>
        <v>45037</v>
      </c>
      <c r="O7" s="35">
        <f>IF(AND(YEAR(AprSun1+26)=Año,MONTH(AprSun1+26)=4),AprSun1+26, "")</f>
        <v>45038</v>
      </c>
      <c r="P7" s="35">
        <f>IF(AND(YEAR(AprSun1+27)=Año,MONTH(AprSun1+27)=4),AprSun1+27, "")</f>
        <v>45039</v>
      </c>
      <c r="R7" s="35">
        <f>IF(AND(YEAR(JulSun1+21)=Año,MONTH(JulSun1+21)=7),JulSun1+21, "")</f>
        <v>45124</v>
      </c>
      <c r="S7" s="35">
        <f>IF(AND(YEAR(JulSun1+22)=Año,MONTH(JulSun1+22)=7),JulSun1+22, "")</f>
        <v>45125</v>
      </c>
      <c r="T7" s="35">
        <f>IF(AND(YEAR(JulSun1+23)=Año,MONTH(JulSun1+23)=7),JulSun1+23, "")</f>
        <v>45126</v>
      </c>
      <c r="U7" s="35">
        <f>IF(AND(YEAR(JulSun1+24)=Año,MONTH(JulSun1+24)=7),JulSun1+24, "")</f>
        <v>45127</v>
      </c>
      <c r="V7" s="35">
        <f>IF(AND(YEAR(JulSun1+25)=Año,MONTH(JulSun1+25)=7),JulSun1+25, "")</f>
        <v>45128</v>
      </c>
      <c r="W7" s="35">
        <f>IF(AND(YEAR(JulSun1+26)=Año,MONTH(JulSun1+26)=7),JulSun1+26, "")</f>
        <v>45129</v>
      </c>
      <c r="X7" s="35">
        <f>IF(AND(YEAR(JulSun1+27)=Año,MONTH(JulSun1+27)=7),JulSun1+27, "")</f>
        <v>45130</v>
      </c>
      <c r="Z7" s="35">
        <f>IF(AND(YEAR(OctSun1+21)=Año,MONTH(OctSun1+21)=10),OctSun1+21, "")</f>
        <v>45222</v>
      </c>
      <c r="AA7" s="35">
        <f>IF(AND(YEAR(OctSun1+22)=Año,MONTH(OctSun1+22)=10),OctSun1+22, "")</f>
        <v>45223</v>
      </c>
      <c r="AB7" s="35">
        <f>IF(AND(YEAR(OctSun1+23)=Año,MONTH(OctSun1+23)=10),OctSun1+23, "")</f>
        <v>45224</v>
      </c>
      <c r="AC7" s="35">
        <f>IF(AND(YEAR(OctSun1+24)=Año,MONTH(OctSun1+24)=10),OctSun1+24, "")</f>
        <v>45225</v>
      </c>
      <c r="AD7" s="35">
        <f>IF(AND(YEAR(OctSun1+25)=Año,MONTH(OctSun1+25)=10),OctSun1+25, "")</f>
        <v>45226</v>
      </c>
      <c r="AE7" s="35">
        <f>IF(AND(YEAR(OctSun1+26)=Año,MONTH(OctSun1+26)=10),OctSun1+26, "")</f>
        <v>45227</v>
      </c>
      <c r="AF7" s="35">
        <f>IF(AND(YEAR(OctSun1+27)=Año,MONTH(OctSun1+27)=10),OctSun1+27, "")</f>
        <v>45228</v>
      </c>
    </row>
    <row r="8" spans="2:32" ht="18" customHeight="1" x14ac:dyDescent="0.15">
      <c r="B8" s="35">
        <f>IF(AND(YEAR(JanSun1+28)=Año,MONTH(JanSun1+28)=1),JanSun1+28, "")</f>
        <v>44956</v>
      </c>
      <c r="C8" s="35">
        <f>IF(AND(YEAR(JanSun1+29)=Año,MONTH(JanSun1+29)=1),JanSun1+29, "")</f>
        <v>44957</v>
      </c>
      <c r="D8" s="35" t="str">
        <f>IF(AND(YEAR(JanSun1+30)=Año,MONTH(JanSun1+30)=1),JanSun1+30, "")</f>
        <v/>
      </c>
      <c r="E8" s="35" t="str">
        <f>IF(AND(YEAR(JanSun1+31)=Año,MONTH(JanSun1+31)=1),JanSun1+31, "")</f>
        <v/>
      </c>
      <c r="F8" s="35" t="str">
        <f>IF(AND(YEAR(JanSun1+32)=Año,MONTH(JanSun1+32)=1),JanSun1+32, "")</f>
        <v/>
      </c>
      <c r="G8" s="35" t="str">
        <f>IF(AND(YEAR(JanSun1+33)=Año,MONTH(JanSun1+33)=1),JanSun1+33, "")</f>
        <v/>
      </c>
      <c r="H8" s="35" t="str">
        <f>IF(AND(YEAR(JanSun1+34)=Año,MONTH(JanSun1+34)=1),JanSun1+34, "")</f>
        <v/>
      </c>
      <c r="J8" s="35">
        <f>IF(AND(YEAR(AprSun1+28)=Año,MONTH(AprSun1+28)=4),AprSun1+28, "")</f>
        <v>45040</v>
      </c>
      <c r="K8" s="35">
        <f>IF(AND(YEAR(AprSun1+29)=Año,MONTH(AprSun1+29)=4),AprSun1+29, "")</f>
        <v>45041</v>
      </c>
      <c r="L8" s="35">
        <f>IF(AND(YEAR(AprSun1+30)=Año,MONTH(AprSun1+30)=4),AprSun1+30, "")</f>
        <v>45042</v>
      </c>
      <c r="M8" s="35">
        <f>IF(AND(YEAR(AprSun1+31)=Año,MONTH(AprSun1+31)=4),AprSun1+31, "")</f>
        <v>45043</v>
      </c>
      <c r="N8" s="35">
        <f>IF(AND(YEAR(AprSun1+32)=Año,MONTH(AprSun1+32)=4),AprSun1+32, "")</f>
        <v>45044</v>
      </c>
      <c r="O8" s="35">
        <f>IF(AND(YEAR(AprSun1+33)=Año,MONTH(AprSun1+33)=4),AprSun1+33, "")</f>
        <v>45045</v>
      </c>
      <c r="P8" s="35">
        <f>IF(AND(YEAR(AprSun1+34)=Año,MONTH(AprSun1+34)=4),AprSun1+34, "")</f>
        <v>45046</v>
      </c>
      <c r="R8" s="35">
        <f>IF(AND(YEAR(JulSun1+28)=Año,MONTH(JulSun1+28)=7),JulSun1+28, "")</f>
        <v>45131</v>
      </c>
      <c r="S8" s="35">
        <f>IF(AND(YEAR(JulSun1+29)=Año,MONTH(JulSun1+29)=7),JulSun1+29, "")</f>
        <v>45132</v>
      </c>
      <c r="T8" s="35">
        <f>IF(AND(YEAR(JulSun1+30)=Año,MONTH(JulSun1+30)=7),JulSun1+30, "")</f>
        <v>45133</v>
      </c>
      <c r="U8" s="35">
        <f>IF(AND(YEAR(JulSun1+31)=Año,MONTH(JulSun1+31)=7),JulSun1+31, "")</f>
        <v>45134</v>
      </c>
      <c r="V8" s="35">
        <f>IF(AND(YEAR(JulSun1+32)=Año,MONTH(JulSun1+32)=7),JulSun1+32, "")</f>
        <v>45135</v>
      </c>
      <c r="W8" s="35">
        <f>IF(AND(YEAR(JulSun1+33)=Año,MONTH(JulSun1+33)=7),JulSun1+33, "")</f>
        <v>45136</v>
      </c>
      <c r="X8" s="35">
        <f>IF(AND(YEAR(JulSun1+34)=Año,MONTH(JulSun1+34)=7),JulSun1+34, "")</f>
        <v>45137</v>
      </c>
      <c r="Z8" s="35">
        <f>IF(AND(YEAR(OctSun1+28)=Año,MONTH(OctSun1+28)=10),OctSun1+28, "")</f>
        <v>45229</v>
      </c>
      <c r="AA8" s="35">
        <f>IF(AND(YEAR(OctSun1+29)=Año,MONTH(OctSun1+29)=10),OctSun1+29, "")</f>
        <v>45230</v>
      </c>
      <c r="AB8" s="35" t="str">
        <f>IF(AND(YEAR(OctSun1+30)=Año,MONTH(OctSun1+30)=10),OctSun1+30, "")</f>
        <v/>
      </c>
      <c r="AC8" s="35" t="str">
        <f>IF(AND(YEAR(OctSun1+31)=Año,MONTH(OctSun1+31)=10),OctSun1+31, "")</f>
        <v/>
      </c>
      <c r="AD8" s="35" t="str">
        <f>IF(AND(YEAR(OctSun1+32)=Año,MONTH(OctSun1+32)=10),OctSun1+32, "")</f>
        <v/>
      </c>
      <c r="AE8" s="35" t="str">
        <f>IF(AND(YEAR(OctSun1+33)=Año,MONTH(OctSun1+33)=10),OctSun1+33, "")</f>
        <v/>
      </c>
      <c r="AF8" s="35" t="str">
        <f>IF(AND(YEAR(OctSun1+34)=Año,MONTH(OctSun1+34)=10),OctSun1+34, "")</f>
        <v/>
      </c>
    </row>
    <row r="9" spans="2:32" ht="18" customHeight="1" x14ac:dyDescent="0.15">
      <c r="B9" s="35" t="str">
        <f>IF(AND(YEAR(JanSun1+35)=Año,MONTH(JanSun1+35)=1),JanSun1+35, "")</f>
        <v/>
      </c>
      <c r="C9" s="35" t="str">
        <f>IF(AND(YEAR(JanSun1+36)=Año,MONTH(JanSun1+36)=1),JanSun1+36, "")</f>
        <v/>
      </c>
      <c r="D9" s="35" t="str">
        <f>IF(AND(YEAR(JanSun1+37)=Año,MONTH(JanSun1+37)=1),JanSun1+37, "")</f>
        <v/>
      </c>
      <c r="E9" s="35" t="str">
        <f>IF(AND(YEAR(JanSun1+38)=Año,MONTH(JanSun1+38)=1),JanSun1+38, "")</f>
        <v/>
      </c>
      <c r="F9" s="35" t="str">
        <f>IF(AND(YEAR(JanSun1+39)=Año,MONTH(JanSun1+39)=1),JanSun1+39, "")</f>
        <v/>
      </c>
      <c r="G9" s="35" t="str">
        <f>IF(AND(YEAR(JanSun1+40)=Año,MONTH(JanSun1+40)=1),JanSun1+40, "")</f>
        <v/>
      </c>
      <c r="H9" s="35" t="str">
        <f>IF(AND(YEAR(JanSun1+41)=Año,MONTH(JanSun1+41)=1),JanSun1+41, "")</f>
        <v/>
      </c>
      <c r="J9" s="35" t="str">
        <f>IF(AND(YEAR(AprSun1+35)=Año,MONTH(AprSun1+35)=4),AprSun1+35, "")</f>
        <v/>
      </c>
      <c r="K9" s="35" t="str">
        <f>IF(AND(YEAR(AprSun1+36)=Año,MONTH(AprSun1+36)=4),AprSun1+36, "")</f>
        <v/>
      </c>
      <c r="L9" s="35" t="str">
        <f>IF(AND(YEAR(AprSun1+37)=Año,MONTH(AprSun1+37)=4),AprSun1+37, "")</f>
        <v/>
      </c>
      <c r="M9" s="35" t="str">
        <f>IF(AND(YEAR(AprSun1+38)=Año,MONTH(AprSun1+38)=4),AprSun1+38, "")</f>
        <v/>
      </c>
      <c r="N9" s="35" t="str">
        <f>IF(AND(YEAR(AprSun1+39)=Año,MONTH(AprSun1+39)=4),AprSun1+39, "")</f>
        <v/>
      </c>
      <c r="O9" s="35" t="str">
        <f>IF(AND(YEAR(AprSun1+40)=Año,MONTH(AprSun1+40)=4),AprSun1+40, "")</f>
        <v/>
      </c>
      <c r="P9" s="35" t="str">
        <f>IF(AND(YEAR(AprSun1+41)=Año,MONTH(AprSun1+41)=4),AprSun1+41, "")</f>
        <v/>
      </c>
      <c r="R9" s="35">
        <f>IF(AND(YEAR(JulSun1+35)=Año,MONTH(JulSun1+35)=7),JulSun1+35, "")</f>
        <v>45138</v>
      </c>
      <c r="S9" s="35" t="str">
        <f>IF(AND(YEAR(JulSun1+36)=Año,MONTH(JulSun1+36)=7),JulSun1+36, "")</f>
        <v/>
      </c>
      <c r="T9" s="35" t="str">
        <f>IF(AND(YEAR(JulSun1+37)=Año,MONTH(JulSun1+37)=7),JulSun1+37, "")</f>
        <v/>
      </c>
      <c r="U9" s="35" t="str">
        <f>IF(AND(YEAR(JulSun1+38)=Año,MONTH(JulSun1+38)=7),JulSun1+38, "")</f>
        <v/>
      </c>
      <c r="V9" s="35" t="str">
        <f>IF(AND(YEAR(JulSun1+39)=Año,MONTH(JulSun1+39)=7),JulSun1+39, "")</f>
        <v/>
      </c>
      <c r="W9" s="35" t="str">
        <f>IF(AND(YEAR(JulSun1+40)=Año,MONTH(JulSun1+40)=7),JulSun1+40, "")</f>
        <v/>
      </c>
      <c r="X9" s="35" t="str">
        <f>IF(AND(YEAR(JulSun1+41)=Año,MONTH(JulSun1+41)=7),JulSun1+41, "")</f>
        <v/>
      </c>
      <c r="Z9" s="35" t="str">
        <f>IF(AND(YEAR(OctSun1+35)=Año,MONTH(OctSun1+35)=10),OctSun1+35, "")</f>
        <v/>
      </c>
      <c r="AA9" s="35" t="str">
        <f>IF(AND(YEAR(OctSun1+36)=Año,MONTH(OctSun1+36)=10),OctSun1+36, "")</f>
        <v/>
      </c>
      <c r="AB9" s="35" t="str">
        <f>IF(AND(YEAR(OctSun1+37)=Año,MONTH(OctSun1+37)=10),OctSun1+37, "")</f>
        <v/>
      </c>
      <c r="AC9" s="35" t="str">
        <f>IF(AND(YEAR(OctSun1+38)=Año,MONTH(OctSun1+38)=10),OctSun1+38, "")</f>
        <v/>
      </c>
      <c r="AD9" s="35" t="str">
        <f>IF(AND(YEAR(OctSun1+39)=Año,MONTH(OctSun1+39)=10),OctSun1+39, "")</f>
        <v/>
      </c>
      <c r="AE9" s="35" t="str">
        <f>IF(AND(YEAR(OctSun1+40)=Año,MONTH(OctSun1+40)=10),OctSun1+40, "")</f>
        <v/>
      </c>
      <c r="AF9" s="35" t="str">
        <f>IF(AND(YEAR(OctSun1+41)=Año,MONTH(OctSun1+41)=10),OctSun1+41, "")</f>
        <v/>
      </c>
    </row>
    <row r="11" spans="2:32" ht="20" thickBot="1" x14ac:dyDescent="0.2">
      <c r="B11" s="176" t="s">
        <v>88</v>
      </c>
      <c r="C11" s="176"/>
      <c r="D11" s="176"/>
      <c r="E11" s="176"/>
      <c r="F11" s="176"/>
      <c r="G11" s="176"/>
      <c r="H11" s="176"/>
      <c r="J11" s="176" t="s">
        <v>89</v>
      </c>
      <c r="K11" s="176"/>
      <c r="L11" s="176"/>
      <c r="M11" s="176"/>
      <c r="N11" s="176"/>
      <c r="O11" s="176"/>
      <c r="P11" s="176"/>
      <c r="R11" s="176" t="s">
        <v>90</v>
      </c>
      <c r="S11" s="176"/>
      <c r="T11" s="176"/>
      <c r="U11" s="176"/>
      <c r="V11" s="176"/>
      <c r="W11" s="176"/>
      <c r="X11" s="176"/>
      <c r="Z11" s="176" t="s">
        <v>91</v>
      </c>
      <c r="AA11" s="176"/>
      <c r="AB11" s="176"/>
      <c r="AC11" s="176"/>
      <c r="AD11" s="176"/>
      <c r="AE11" s="176"/>
      <c r="AF11" s="176"/>
    </row>
    <row r="12" spans="2:32" ht="18" customHeight="1" thickTop="1" x14ac:dyDescent="0.15">
      <c r="B12" s="174" t="s">
        <v>81</v>
      </c>
      <c r="C12" s="174" t="s">
        <v>82</v>
      </c>
      <c r="D12" s="174" t="s">
        <v>83</v>
      </c>
      <c r="E12" s="174" t="s">
        <v>84</v>
      </c>
      <c r="F12" s="174" t="s">
        <v>85</v>
      </c>
      <c r="G12" s="174" t="s">
        <v>86</v>
      </c>
      <c r="H12" s="174" t="s">
        <v>87</v>
      </c>
      <c r="J12" s="174" t="s">
        <v>81</v>
      </c>
      <c r="K12" s="174" t="s">
        <v>82</v>
      </c>
      <c r="L12" s="174" t="s">
        <v>83</v>
      </c>
      <c r="M12" s="174" t="s">
        <v>84</v>
      </c>
      <c r="N12" s="174" t="s">
        <v>85</v>
      </c>
      <c r="O12" s="174" t="s">
        <v>86</v>
      </c>
      <c r="P12" s="174" t="s">
        <v>87</v>
      </c>
      <c r="R12" s="174" t="s">
        <v>81</v>
      </c>
      <c r="S12" s="174" t="s">
        <v>82</v>
      </c>
      <c r="T12" s="174" t="s">
        <v>83</v>
      </c>
      <c r="U12" s="174" t="s">
        <v>84</v>
      </c>
      <c r="V12" s="174" t="s">
        <v>85</v>
      </c>
      <c r="W12" s="174" t="s">
        <v>86</v>
      </c>
      <c r="X12" s="174" t="s">
        <v>87</v>
      </c>
      <c r="Z12" s="174" t="s">
        <v>81</v>
      </c>
      <c r="AA12" s="174" t="s">
        <v>82</v>
      </c>
      <c r="AB12" s="174" t="s">
        <v>83</v>
      </c>
      <c r="AC12" s="174" t="s">
        <v>84</v>
      </c>
      <c r="AD12" s="174" t="s">
        <v>85</v>
      </c>
      <c r="AE12" s="174" t="s">
        <v>86</v>
      </c>
      <c r="AF12" s="174" t="s">
        <v>87</v>
      </c>
    </row>
    <row r="13" spans="2:32" ht="18" customHeight="1" x14ac:dyDescent="0.15">
      <c r="B13" s="35" t="str">
        <f>IF(AND(YEAR(FebSun1)=Año,MONTH(FebSun1)=2),FebSun1, "")</f>
        <v/>
      </c>
      <c r="C13" s="35" t="str">
        <f>IF(AND(YEAR(FebSun1+1)=Año,MONTH(FebSun1+1)=2),FebSun1+1, "")</f>
        <v/>
      </c>
      <c r="D13" s="35">
        <f>IF(AND(YEAR(FebSun1+2)=Año,MONTH(FebSun1+2)=2),FebSun1+2, "")</f>
        <v>44958</v>
      </c>
      <c r="E13" s="35">
        <f>IF(AND(YEAR(FebSun1+3)=Año,MONTH(FebSun1+3)=2),FebSun1+3, "")</f>
        <v>44959</v>
      </c>
      <c r="F13" s="35">
        <f>IF(AND(YEAR(FebSun1+4)=Año,MONTH(FebSun1+4)=2),FebSun1+4, "")</f>
        <v>44960</v>
      </c>
      <c r="G13" s="35">
        <f>IF(AND(YEAR(FebSun1+5)=Año,MONTH(FebSun1+5)=2),FebSun1+5, "")</f>
        <v>44961</v>
      </c>
      <c r="H13" s="35">
        <f>IF(AND(YEAR(FebSun1+6)=Año,MONTH(FebSun1+6)=2),FebSun1+6, "")</f>
        <v>44962</v>
      </c>
      <c r="J13" s="35">
        <f>IF(AND(YEAR(MaySun1)=Año,MONTH(MaySun1)=5),MaySun1, "")</f>
        <v>45047</v>
      </c>
      <c r="K13" s="35">
        <f>IF(AND(YEAR(MaySun1+1)=Año,MONTH(MaySun1+1)=5),MaySun1+1, "")</f>
        <v>45048</v>
      </c>
      <c r="L13" s="35">
        <f>IF(AND(YEAR(MaySun1+2)=Año,MONTH(MaySun1+2)=5),MaySun1+2, "")</f>
        <v>45049</v>
      </c>
      <c r="M13" s="35">
        <f>IF(AND(YEAR(MaySun1+3)=Año,MONTH(MaySun1+3)=5),MaySun1+3, "")</f>
        <v>45050</v>
      </c>
      <c r="N13" s="35">
        <f>IF(AND(YEAR(MaySun1+4)=Año,MONTH(MaySun1+4)=5),MaySun1+4, "")</f>
        <v>45051</v>
      </c>
      <c r="O13" s="35">
        <f>IF(AND(YEAR(MaySun1+5)=Año,MONTH(MaySun1+5)=5),MaySun1+5, "")</f>
        <v>45052</v>
      </c>
      <c r="P13" s="35">
        <f>IF(AND(YEAR(MaySun1+6)=Año,MONTH(MaySun1+6)=5),MaySun1+6, "")</f>
        <v>45053</v>
      </c>
      <c r="R13" s="35" t="str">
        <f>IF(AND(YEAR(AgoDom1)=Año,MONTH(AgoDom1)=8),AgoDom1, "")</f>
        <v/>
      </c>
      <c r="S13" s="35" t="str">
        <f>IF(AND(YEAR(AgoDom1+1)=Año,MONTH(AgoDom1+1)=8),AgoDom1+1, "")</f>
        <v/>
      </c>
      <c r="T13" s="35" t="str">
        <f>IF(AND(YEAR(AgoDom1+2)=Año,MONTH(AgoDom1+2)=8),AgoDom1+2, "")</f>
        <v/>
      </c>
      <c r="U13" s="35" t="str">
        <f>IF(AND(YEAR(AgoDom1+3)=Año,MONTH(AgoDom1+3)=8),AgoDom1+3, "")</f>
        <v/>
      </c>
      <c r="V13" s="35" t="str">
        <f>IF(AND(YEAR(AgoDom1+4)=Año,MONTH(AgoDom1+4)=8),AgoDom1+4, "")</f>
        <v/>
      </c>
      <c r="W13" s="35" t="str">
        <f>IF(AND(YEAR(AgoDom1+5)=Año,MONTH(AgoDom1+5)=8),AgoDom1+5, "")</f>
        <v/>
      </c>
      <c r="X13" s="35" t="str">
        <f>IF(AND(YEAR(AgoDom1+6)=Año,MONTH(AgoDom1+6)=8),AgoDom1+6, "")</f>
        <v/>
      </c>
      <c r="Z13" s="35" t="str">
        <f>IF(AND(YEAR(NovSun1)=Año,MONTH(NovSun1)=11),NovSun1, "")</f>
        <v/>
      </c>
      <c r="AA13" s="35" t="str">
        <f>IF(AND(YEAR(NovSun1+1)=Año,MONTH(NovSun1+1)=11),NovSun1+1, "")</f>
        <v/>
      </c>
      <c r="AB13" s="35">
        <f>IF(AND(YEAR(NovSun1+2)=Año,MONTH(NovSun1+2)=11),NovSun1+2, "")</f>
        <v>45231</v>
      </c>
      <c r="AC13" s="35">
        <f>IF(AND(YEAR(NovSun1+3)=Año,MONTH(NovSun1+3)=11),NovSun1+3, "")</f>
        <v>45232</v>
      </c>
      <c r="AD13" s="35">
        <f>IF(AND(YEAR(NovSun1+4)=Año,MONTH(NovSun1+4)=11),NovSun1+4, "")</f>
        <v>45233</v>
      </c>
      <c r="AE13" s="35">
        <f>IF(AND(YEAR(NovSun1+5)=Año,MONTH(NovSun1+5)=11),NovSun1+5, "")</f>
        <v>45234</v>
      </c>
      <c r="AF13" s="35">
        <f>IF(AND(YEAR(NovSun1+6)=Año,MONTH(NovSun1+6)=11),NovSun1+6, "")</f>
        <v>45235</v>
      </c>
    </row>
    <row r="14" spans="2:32" ht="18" customHeight="1" x14ac:dyDescent="0.15">
      <c r="B14" s="35">
        <f>IF(AND(YEAR(FebSun1+7)=Año,MONTH(FebSun1+7)=2),FebSun1+7, "")</f>
        <v>44963</v>
      </c>
      <c r="C14" s="35">
        <f>IF(AND(YEAR(FebSun1+8)=Año,MONTH(FebSun1+8)=2),FebSun1+8, "")</f>
        <v>44964</v>
      </c>
      <c r="D14" s="35">
        <f>IF(AND(YEAR(FebSun1+9)=Año,MONTH(FebSun1+9)=2),FebSun1+9, "")</f>
        <v>44965</v>
      </c>
      <c r="E14" s="35">
        <f>IF(AND(YEAR(FebSun1+10)=Año,MONTH(FebSun1+10)=2),FebSun1+10, "")</f>
        <v>44966</v>
      </c>
      <c r="F14" s="35">
        <f>IF(AND(YEAR(FebSun1+11)=Año,MONTH(FebSun1+11)=2),FebSun1+11, "")</f>
        <v>44967</v>
      </c>
      <c r="G14" s="35">
        <f>IF(AND(YEAR(FebSun1+12)=Año,MONTH(FebSun1+12)=2),FebSun1+12, "")</f>
        <v>44968</v>
      </c>
      <c r="H14" s="35">
        <f>IF(AND(YEAR(FebSun1+13)=Año,MONTH(FebSun1+13)=2),FebSun1+13, "")</f>
        <v>44969</v>
      </c>
      <c r="J14" s="35">
        <f>IF(AND(YEAR(MaySun1+7)=Año,MONTH(MaySun1+7)=5),MaySun1+7, "")</f>
        <v>45054</v>
      </c>
      <c r="K14" s="35">
        <f>IF(AND(YEAR(MaySun1+8)=Año,MONTH(MaySun1+8)=5),MaySun1+8, "")</f>
        <v>45055</v>
      </c>
      <c r="L14" s="35">
        <f>IF(AND(YEAR(MaySun1+9)=Año,MONTH(MaySun1+9)=5),MaySun1+9, "")</f>
        <v>45056</v>
      </c>
      <c r="M14" s="35">
        <f>IF(AND(YEAR(MaySun1+10)=Año,MONTH(MaySun1+10)=5),MaySun1+10, "")</f>
        <v>45057</v>
      </c>
      <c r="N14" s="35">
        <f>IF(AND(YEAR(MaySun1+11)=Año,MONTH(MaySun1+11)=5),MaySun1+11, "")</f>
        <v>45058</v>
      </c>
      <c r="O14" s="35">
        <f>IF(AND(YEAR(MaySun1+12)=Año,MONTH(MaySun1+12)=5),MaySun1+12, "")</f>
        <v>45059</v>
      </c>
      <c r="P14" s="35">
        <f>IF(AND(YEAR(MaySun1+13)=Año,MONTH(MaySun1+13)=5),MaySun1+13, "")</f>
        <v>45060</v>
      </c>
      <c r="R14" s="35" t="str">
        <f>IF(AND(YEAR(AgoDom1+7)=Año,MONTH(AgoDom1+7)=8),AgoDom1+7, "")</f>
        <v/>
      </c>
      <c r="S14" s="35">
        <f>IF(AND(YEAR(AgoDom1+8)=Año,MONTH(AgoDom1+8)=8),AgoDom1+8, "")</f>
        <v>45139</v>
      </c>
      <c r="T14" s="35">
        <f>IF(AND(YEAR(AgoDom1+9)=Año,MONTH(AgoDom1+9)=8),AgoDom1+9, "")</f>
        <v>45140</v>
      </c>
      <c r="U14" s="35">
        <f>IF(AND(YEAR(AgoDom1+10)=Año,MONTH(AgoDom1+10)=8),AgoDom1+10, "")</f>
        <v>45141</v>
      </c>
      <c r="V14" s="35">
        <f>IF(AND(YEAR(AgoDom1+11)=Año,MONTH(AgoDom1+11)=8),AgoDom1+11, "")</f>
        <v>45142</v>
      </c>
      <c r="W14" s="35">
        <f>IF(AND(YEAR(AgoDom1+12)=Año,MONTH(AgoDom1+12)=8),AgoDom1+12, "")</f>
        <v>45143</v>
      </c>
      <c r="X14" s="35">
        <f>IF(AND(YEAR(AgoDom1+13)=Año,MONTH(AgoDom1+13)=8),AgoDom1+13, "")</f>
        <v>45144</v>
      </c>
      <c r="Z14" s="35">
        <f>IF(AND(YEAR(NovSun1+7)=Año,MONTH(NovSun1+7)=11),NovSun1+7, "")</f>
        <v>45236</v>
      </c>
      <c r="AA14" s="35">
        <f>IF(AND(YEAR(NovSun1+8)=Año,MONTH(NovSun1+8)=11),NovSun1+8, "")</f>
        <v>45237</v>
      </c>
      <c r="AB14" s="35">
        <f>IF(AND(YEAR(NovSun1+9)=Año,MONTH(NovSun1+9)=11),NovSun1+9, "")</f>
        <v>45238</v>
      </c>
      <c r="AC14" s="35">
        <f>IF(AND(YEAR(NovSun1+10)=Año,MONTH(NovSun1+10)=11),NovSun1+10, "")</f>
        <v>45239</v>
      </c>
      <c r="AD14" s="35">
        <f>IF(AND(YEAR(NovSun1+11)=Año,MONTH(NovSun1+11)=11),NovSun1+11, "")</f>
        <v>45240</v>
      </c>
      <c r="AE14" s="35">
        <f>IF(AND(YEAR(NovSun1+12)=Año,MONTH(NovSun1+12)=11),NovSun1+12, "")</f>
        <v>45241</v>
      </c>
      <c r="AF14" s="35">
        <f>IF(AND(YEAR(NovSun1+13)=Año,MONTH(NovSun1+13)=11),NovSun1+13, "")</f>
        <v>45242</v>
      </c>
    </row>
    <row r="15" spans="2:32" ht="18" customHeight="1" x14ac:dyDescent="0.15">
      <c r="B15" s="35">
        <f>IF(AND(YEAR(FebSun1+14)=Año,MONTH(FebSun1+14)=2),FebSun1+14, "")</f>
        <v>44970</v>
      </c>
      <c r="C15" s="35">
        <f>IF(AND(YEAR(FebSun1+15)=Año,MONTH(FebSun1+15)=2),FebSun1+15, "")</f>
        <v>44971</v>
      </c>
      <c r="D15" s="35">
        <f>IF(AND(YEAR(FebSun1+16)=Año,MONTH(FebSun1+16)=2),FebSun1+16, "")</f>
        <v>44972</v>
      </c>
      <c r="E15" s="35">
        <f>IF(AND(YEAR(FebSun1+17)=Año,MONTH(FebSun1+17)=2),FebSun1+17, "")</f>
        <v>44973</v>
      </c>
      <c r="F15" s="35">
        <f>IF(AND(YEAR(FebSun1+18)=Año,MONTH(FebSun1+18)=2),FebSun1+18, "")</f>
        <v>44974</v>
      </c>
      <c r="G15" s="35">
        <f>IF(AND(YEAR(FebSun1+19)=Año,MONTH(FebSun1+19)=2),FebSun1+19, "")</f>
        <v>44975</v>
      </c>
      <c r="H15" s="35">
        <f>IF(AND(YEAR(FebSun1+20)=Año,MONTH(FebSun1+20)=2),FebSun1+20, "")</f>
        <v>44976</v>
      </c>
      <c r="J15" s="35">
        <f>IF(AND(YEAR(MaySun1+14)=Año,MONTH(MaySun1+14)=5),MaySun1+14, "")</f>
        <v>45061</v>
      </c>
      <c r="K15" s="35">
        <f>IF(AND(YEAR(MaySun1+15)=Año,MONTH(MaySun1+15)=5),MaySun1+15, "")</f>
        <v>45062</v>
      </c>
      <c r="L15" s="35">
        <f>IF(AND(YEAR(MaySun1+16)=Año,MONTH(MaySun1+16)=5),MaySun1+16, "")</f>
        <v>45063</v>
      </c>
      <c r="M15" s="35">
        <f>IF(AND(YEAR(MaySun1+17)=Año,MONTH(MaySun1+17)=5),MaySun1+17, "")</f>
        <v>45064</v>
      </c>
      <c r="N15" s="35">
        <f>IF(AND(YEAR(MaySun1+18)=Año,MONTH(MaySun1+18)=5),MaySun1+18, "")</f>
        <v>45065</v>
      </c>
      <c r="O15" s="35">
        <f>IF(AND(YEAR(MaySun1+19)=Año,MONTH(MaySun1+19)=5),MaySun1+19, "")</f>
        <v>45066</v>
      </c>
      <c r="P15" s="35">
        <f>IF(AND(YEAR(MaySun1+20)=Año,MONTH(MaySun1+20)=5),MaySun1+20, "")</f>
        <v>45067</v>
      </c>
      <c r="R15" s="35">
        <f>IF(AND(YEAR(AgoDom1+14)=Año,MONTH(AgoDom1+14)=8),AgoDom1+14, "")</f>
        <v>45145</v>
      </c>
      <c r="S15" s="35">
        <f>IF(AND(YEAR(AgoDom1+15)=Año,MONTH(AgoDom1+15)=8),AgoDom1+15, "")</f>
        <v>45146</v>
      </c>
      <c r="T15" s="35">
        <f>IF(AND(YEAR(AgoDom1+16)=Año,MONTH(AgoDom1+16)=8),AgoDom1+16, "")</f>
        <v>45147</v>
      </c>
      <c r="U15" s="35">
        <f>IF(AND(YEAR(AgoDom1+17)=Año,MONTH(AgoDom1+17)=8),AgoDom1+17, "")</f>
        <v>45148</v>
      </c>
      <c r="V15" s="35">
        <f>IF(AND(YEAR(AgoDom1+18)=Año,MONTH(AgoDom1+18)=8),AgoDom1+18, "")</f>
        <v>45149</v>
      </c>
      <c r="W15" s="35">
        <f>IF(AND(YEAR(AgoDom1+19)=Año,MONTH(AgoDom1+19)=8),AgoDom1+19, "")</f>
        <v>45150</v>
      </c>
      <c r="X15" s="35">
        <f>IF(AND(YEAR(AgoDom1+20)=Año,MONTH(AgoDom1+20)=8),AgoDom1+20, "")</f>
        <v>45151</v>
      </c>
      <c r="Z15" s="35">
        <f>IF(AND(YEAR(NovSun1+14)=Año,MONTH(NovSun1+14)=11),NovSun1+14, "")</f>
        <v>45243</v>
      </c>
      <c r="AA15" s="35">
        <f>IF(AND(YEAR(NovSun1+15)=Año,MONTH(NovSun1+15)=11),NovSun1+15, "")</f>
        <v>45244</v>
      </c>
      <c r="AB15" s="35">
        <f>IF(AND(YEAR(NovSun1+16)=Año,MONTH(NovSun1+16)=11),NovSun1+16, "")</f>
        <v>45245</v>
      </c>
      <c r="AC15" s="35">
        <f>IF(AND(YEAR(NovSun1+17)=Año,MONTH(NovSun1+17)=11),NovSun1+17, "")</f>
        <v>45246</v>
      </c>
      <c r="AD15" s="35">
        <f>IF(AND(YEAR(NovSun1+18)=Año,MONTH(NovSun1+18)=11),NovSun1+18, "")</f>
        <v>45247</v>
      </c>
      <c r="AE15" s="35">
        <f>IF(AND(YEAR(NovSun1+19)=Año,MONTH(NovSun1+19)=11),NovSun1+19, "")</f>
        <v>45248</v>
      </c>
      <c r="AF15" s="35">
        <f>IF(AND(YEAR(NovSun1+20)=Año,MONTH(NovSun1+20)=11),NovSun1+20, "")</f>
        <v>45249</v>
      </c>
    </row>
    <row r="16" spans="2:32" ht="18" customHeight="1" x14ac:dyDescent="0.15">
      <c r="B16" s="35">
        <f>IF(AND(YEAR(FebSun1+21)=Año,MONTH(FebSun1+21)=2),FebSun1+21, "")</f>
        <v>44977</v>
      </c>
      <c r="C16" s="35">
        <f>IF(AND(YEAR(FebSun1+22)=Año,MONTH(FebSun1+22)=2),FebSun1+22, "")</f>
        <v>44978</v>
      </c>
      <c r="D16" s="35">
        <f>IF(AND(YEAR(FebSun1+23)=Año,MONTH(FebSun1+23)=2),FebSun1+23, "")</f>
        <v>44979</v>
      </c>
      <c r="E16" s="35">
        <f>IF(AND(YEAR(FebSun1+24)=Año,MONTH(FebSun1+24)=2),FebSun1+24, "")</f>
        <v>44980</v>
      </c>
      <c r="F16" s="35">
        <f>IF(AND(YEAR(FebSun1+25)=Año,MONTH(FebSun1+25)=2),FebSun1+25, "")</f>
        <v>44981</v>
      </c>
      <c r="G16" s="35">
        <f>IF(AND(YEAR(FebSun1+26)=Año,MONTH(FebSun1+26)=2),FebSun1+26, "")</f>
        <v>44982</v>
      </c>
      <c r="H16" s="35">
        <f>IF(AND(YEAR(FebSun1+27)=Año,MONTH(FebSun1+27)=2),FebSun1+27, "")</f>
        <v>44983</v>
      </c>
      <c r="J16" s="35">
        <f>IF(AND(YEAR(MaySun1+21)=Año,MONTH(MaySun1+21)=5),MaySun1+21, "")</f>
        <v>45068</v>
      </c>
      <c r="K16" s="35">
        <f>IF(AND(YEAR(MaySun1+22)=Año,MONTH(MaySun1+22)=5),MaySun1+22, "")</f>
        <v>45069</v>
      </c>
      <c r="L16" s="35">
        <f>IF(AND(YEAR(MaySun1+23)=Año,MONTH(MaySun1+23)=5),MaySun1+23, "")</f>
        <v>45070</v>
      </c>
      <c r="M16" s="35">
        <f>IF(AND(YEAR(MaySun1+24)=Año,MONTH(MaySun1+24)=5),MaySun1+24, "")</f>
        <v>45071</v>
      </c>
      <c r="N16" s="35">
        <f>IF(AND(YEAR(MaySun1+25)=Año,MONTH(MaySun1+25)=5),MaySun1+25, "")</f>
        <v>45072</v>
      </c>
      <c r="O16" s="35">
        <f>IF(AND(YEAR(MaySun1+26)=Año,MONTH(MaySun1+26)=5),MaySun1+26, "")</f>
        <v>45073</v>
      </c>
      <c r="P16" s="35">
        <f>IF(AND(YEAR(MaySun1+27)=Año,MONTH(MaySun1+27)=5),MaySun1+27, "")</f>
        <v>45074</v>
      </c>
      <c r="R16" s="35">
        <f>IF(AND(YEAR(AgoDom1+21)=Año,MONTH(AgoDom1+21)=8),AgoDom1+21, "")</f>
        <v>45152</v>
      </c>
      <c r="S16" s="35">
        <f>IF(AND(YEAR(AgoDom1+22)=Año,MONTH(AgoDom1+22)=8),AgoDom1+22, "")</f>
        <v>45153</v>
      </c>
      <c r="T16" s="35">
        <f>IF(AND(YEAR(AgoDom1+23)=Año,MONTH(AgoDom1+23)=8),AgoDom1+23, "")</f>
        <v>45154</v>
      </c>
      <c r="U16" s="35">
        <f>IF(AND(YEAR(AgoDom1+24)=Año,MONTH(AgoDom1+24)=8),AgoDom1+24, "")</f>
        <v>45155</v>
      </c>
      <c r="V16" s="35">
        <f>IF(AND(YEAR(AgoDom1+25)=Año,MONTH(AgoDom1+25)=8),AgoDom1+25, "")</f>
        <v>45156</v>
      </c>
      <c r="W16" s="35">
        <f>IF(AND(YEAR(AgoDom1+26)=Año,MONTH(AgoDom1+26)=8),AgoDom1+26, "")</f>
        <v>45157</v>
      </c>
      <c r="X16" s="35">
        <f>IF(AND(YEAR(AgoDom1+27)=Año,MONTH(AgoDom1+27)=8),AgoDom1+27, "")</f>
        <v>45158</v>
      </c>
      <c r="Z16" s="35">
        <f>IF(AND(YEAR(NovSun1+21)=Año,MONTH(NovSun1+21)=11),NovSun1+21, "")</f>
        <v>45250</v>
      </c>
      <c r="AA16" s="35">
        <f>IF(AND(YEAR(NovSun1+22)=Año,MONTH(NovSun1+22)=11),NovSun1+22, "")</f>
        <v>45251</v>
      </c>
      <c r="AB16" s="35">
        <f>IF(AND(YEAR(NovSun1+23)=Año,MONTH(NovSun1+23)=11),NovSun1+23, "")</f>
        <v>45252</v>
      </c>
      <c r="AC16" s="35">
        <f>IF(AND(YEAR(NovSun1+24)=Año,MONTH(NovSun1+24)=11),NovSun1+24, "")</f>
        <v>45253</v>
      </c>
      <c r="AD16" s="35">
        <f>IF(AND(YEAR(NovSun1+25)=Año,MONTH(NovSun1+25)=11),NovSun1+25, "")</f>
        <v>45254</v>
      </c>
      <c r="AE16" s="35">
        <f>IF(AND(YEAR(NovSun1+26)=Año,MONTH(NovSun1+26)=11),NovSun1+26, "")</f>
        <v>45255</v>
      </c>
      <c r="AF16" s="35">
        <f>IF(AND(YEAR(NovSun1+27)=Año,MONTH(NovSun1+27)=11),NovSun1+27, "")</f>
        <v>45256</v>
      </c>
    </row>
    <row r="17" spans="2:32" ht="18" customHeight="1" x14ac:dyDescent="0.15">
      <c r="B17" s="35">
        <f>IF(AND(YEAR(FebSun1+28)=Año,MONTH(FebSun1+28)=2),FebSun1+28, "")</f>
        <v>44984</v>
      </c>
      <c r="C17" s="35">
        <f>IF(AND(YEAR(FebSun1+29)=Año,MONTH(FebSun1+29)=2),FebSun1+29, "")</f>
        <v>44985</v>
      </c>
      <c r="D17" s="35" t="str">
        <f>IF(AND(YEAR(FebSun1+30)=Año,MONTH(FebSun1+30)=2),FebSun1+30, "")</f>
        <v/>
      </c>
      <c r="E17" s="35" t="str">
        <f>IF(AND(YEAR(FebSun1+31)=Año,MONTH(FebSun1+31)=2),FebSun1+31, "")</f>
        <v/>
      </c>
      <c r="F17" s="35" t="str">
        <f>IF(AND(YEAR(FebSun1+32)=Año,MONTH(FebSun1+32)=2),FebSun1+32, "")</f>
        <v/>
      </c>
      <c r="G17" s="35" t="str">
        <f>IF(AND(YEAR(FebSun1+33)=Año,MONTH(FebSun1+33)=2),FebSun1+33, "")</f>
        <v/>
      </c>
      <c r="H17" s="35" t="str">
        <f>IF(AND(YEAR(FebSun1+34)=Año,MONTH(FebSun1+34)=2),FebSun1+34, "")</f>
        <v/>
      </c>
      <c r="J17" s="35">
        <f>IF(AND(YEAR(MaySun1+28)=Año,MONTH(MaySun1+28)=5),MaySun1+28, "")</f>
        <v>45075</v>
      </c>
      <c r="K17" s="35">
        <f>IF(AND(YEAR(MaySun1+29)=Año,MONTH(MaySun1+29)=5),MaySun1+29, "")</f>
        <v>45076</v>
      </c>
      <c r="L17" s="35">
        <f>IF(AND(YEAR(MaySun1+30)=Año,MONTH(MaySun1+30)=5),MaySun1+30, "")</f>
        <v>45077</v>
      </c>
      <c r="M17" s="35" t="str">
        <f>IF(AND(YEAR(MaySun1+31)=Año,MONTH(MaySun1+31)=5),MaySun1+31, "")</f>
        <v/>
      </c>
      <c r="N17" s="35" t="str">
        <f>IF(AND(YEAR(MaySun1+32)=Año,MONTH(MaySun1+32)=5),MaySun1+32, "")</f>
        <v/>
      </c>
      <c r="O17" s="35" t="str">
        <f>IF(AND(YEAR(MaySun1+33)=Año,MONTH(MaySun1+33)=5),MaySun1+33, "")</f>
        <v/>
      </c>
      <c r="P17" s="35" t="str">
        <f>IF(AND(YEAR(MaySun1+34)=Año,MONTH(MaySun1+34)=5),MaySun1+34, "")</f>
        <v/>
      </c>
      <c r="R17" s="35">
        <f>IF(AND(YEAR(AgoDom1+28)=Año,MONTH(AgoDom1+28)=8),AgoDom1+28, "")</f>
        <v>45159</v>
      </c>
      <c r="S17" s="35">
        <f>IF(AND(YEAR(AgoDom1+29)=Año,MONTH(AgoDom1+29)=8),AgoDom1+29, "")</f>
        <v>45160</v>
      </c>
      <c r="T17" s="35">
        <f>IF(AND(YEAR(AgoDom1+30)=Año,MONTH(AgoDom1+30)=8),AgoDom1+30, "")</f>
        <v>45161</v>
      </c>
      <c r="U17" s="35">
        <f>IF(AND(YEAR(AgoDom1+31)=Año,MONTH(AgoDom1+31)=8),AgoDom1+31, "")</f>
        <v>45162</v>
      </c>
      <c r="V17" s="35">
        <f>IF(AND(YEAR(AgoDom1+32)=Año,MONTH(AgoDom1+32)=8),AgoDom1+32, "")</f>
        <v>45163</v>
      </c>
      <c r="W17" s="35">
        <f>IF(AND(YEAR(AgoDom1+33)=Año,MONTH(AgoDom1+33)=8),AgoDom1+33, "")</f>
        <v>45164</v>
      </c>
      <c r="X17" s="35">
        <f>IF(AND(YEAR(AgoDom1+34)=Año,MONTH(AgoDom1+34)=8),AgoDom1+34, "")</f>
        <v>45165</v>
      </c>
      <c r="Z17" s="35">
        <f>IF(AND(YEAR(NovSun1+28)=Año,MONTH(NovSun1+28)=11),NovSun1+28, "")</f>
        <v>45257</v>
      </c>
      <c r="AA17" s="35">
        <f>IF(AND(YEAR(NovSun1+29)=Año,MONTH(NovSun1+29)=11),NovSun1+29, "")</f>
        <v>45258</v>
      </c>
      <c r="AB17" s="35">
        <f>IF(AND(YEAR(NovSun1+30)=Año,MONTH(NovSun1+30)=11),NovSun1+30, "")</f>
        <v>45259</v>
      </c>
      <c r="AC17" s="35">
        <f>IF(AND(YEAR(NovSun1+31)=Año,MONTH(NovSun1+31)=11),NovSun1+31, "")</f>
        <v>45260</v>
      </c>
      <c r="AD17" s="35" t="str">
        <f>IF(AND(YEAR(NovSun1+32)=Año,MONTH(NovSun1+32)=11),NovSun1+32, "")</f>
        <v/>
      </c>
      <c r="AE17" s="35" t="str">
        <f>IF(AND(YEAR(NovSun1+33)=Año,MONTH(NovSun1+33)=11),NovSun1+33, "")</f>
        <v/>
      </c>
      <c r="AF17" s="35" t="str">
        <f>IF(AND(YEAR(NovSun1+34)=Año,MONTH(NovSun1+34)=11),NovSun1+34, "")</f>
        <v/>
      </c>
    </row>
    <row r="18" spans="2:32" ht="18" customHeight="1" x14ac:dyDescent="0.15">
      <c r="B18" s="35" t="str">
        <f>IF(AND(YEAR(FebSun1+35)=Año,MONTH(FebSun1+35)=2),FebSun1+35, "")</f>
        <v/>
      </c>
      <c r="C18" s="35" t="str">
        <f>IF(AND(YEAR(FebSun1+36)=Año,MONTH(FebSun1+36)=2),FebSun1+36, "")</f>
        <v/>
      </c>
      <c r="D18" s="35" t="str">
        <f>IF(AND(YEAR(FebSun1+37)=Año,MONTH(FebSun1+37)=2),FebSun1+37, "")</f>
        <v/>
      </c>
      <c r="E18" s="35" t="str">
        <f>IF(AND(YEAR(FebSun1+38)=Año,MONTH(FebSun1+38)=2),FebSun1+38, "")</f>
        <v/>
      </c>
      <c r="F18" s="35" t="str">
        <f>IF(AND(YEAR(FebSun1+39)=Año,MONTH(FebSun1+39)=2),FebSun1+39, "")</f>
        <v/>
      </c>
      <c r="G18" s="35" t="str">
        <f>IF(AND(YEAR(FebSun1+40)=Año,MONTH(FebSun1+40)=2),FebSun1+40, "")</f>
        <v/>
      </c>
      <c r="H18" s="35" t="str">
        <f>IF(AND(YEAR(FebSun1+41)=Año,MONTH(FebSun1+41)=2),FebSun1+41, "")</f>
        <v/>
      </c>
      <c r="J18" s="35" t="str">
        <f>IF(AND(YEAR(MaySun1+35)=Año,MONTH(MaySun1+35)=5),MaySun1+35, "")</f>
        <v/>
      </c>
      <c r="K18" s="35" t="str">
        <f>IF(AND(YEAR(MaySun1+36)=Año,MONTH(MaySun1+36)=5),MaySun1+36, "")</f>
        <v/>
      </c>
      <c r="L18" s="35" t="str">
        <f>IF(AND(YEAR(MaySun1+37)=Año,MONTH(MaySun1+37)=5),MaySun1+37, "")</f>
        <v/>
      </c>
      <c r="M18" s="35" t="str">
        <f>IF(AND(YEAR(MaySun1+38)=Año,MONTH(MaySun1+38)=5),MaySun1+38, "")</f>
        <v/>
      </c>
      <c r="N18" s="35" t="str">
        <f>IF(AND(YEAR(MaySun1+39)=Año,MONTH(MaySun1+39)=5),MaySun1+39, "")</f>
        <v/>
      </c>
      <c r="O18" s="35" t="str">
        <f>IF(AND(YEAR(MaySun1+40)=Año,MONTH(MaySun1+40)=5),MaySun1+40, "")</f>
        <v/>
      </c>
      <c r="P18" s="35" t="str">
        <f>IF(AND(YEAR(MaySun1+41)=Año,MONTH(MaySun1+41)=5),MaySun1+41, "")</f>
        <v/>
      </c>
      <c r="R18" s="35">
        <f>IF(AND(YEAR(AgoDom1+35)=Año,MONTH(AgoDom1+35)=8),AgoDom1+35, "")</f>
        <v>45166</v>
      </c>
      <c r="S18" s="35">
        <f>IF(AND(YEAR(AgoDom1+36)=Año,MONTH(AgoDom1+36)=8),AgoDom1+36, "")</f>
        <v>45167</v>
      </c>
      <c r="T18" s="35">
        <f>IF(AND(YEAR(AgoDom1+37)=Año,MONTH(AgoDom1+37)=8),AgoDom1+37, "")</f>
        <v>45168</v>
      </c>
      <c r="U18" s="35">
        <f>IF(AND(YEAR(AgoDom1+38)=Año,MONTH(AgoDom1+38)=8),AgoDom1+38, "")</f>
        <v>45169</v>
      </c>
      <c r="V18" s="35" t="str">
        <f>IF(AND(YEAR(AgoDom1+39)=Año,MONTH(AgoDom1+39)=8),AgoDom1+39, "")</f>
        <v/>
      </c>
      <c r="W18" s="35" t="str">
        <f>IF(AND(YEAR(AgoDom1+40)=Año,MONTH(AgoDom1+40)=8),AgoDom1+40, "")</f>
        <v/>
      </c>
      <c r="X18" s="35" t="str">
        <f>IF(AND(YEAR(AgoDom1+41)=Año,MONTH(AgoDom1+41)=8),AgoDom1+41, "")</f>
        <v/>
      </c>
      <c r="Z18" s="35" t="str">
        <f>IF(AND(YEAR(NovSun1+35)=Año,MONTH(NovSun1+35)=11),NovSun1+35, "")</f>
        <v/>
      </c>
      <c r="AA18" s="35" t="str">
        <f>IF(AND(YEAR(NovSun1+36)=Año,MONTH(NovSun1+36)=11),NovSun1+36, "")</f>
        <v/>
      </c>
      <c r="AB18" s="35" t="str">
        <f>IF(AND(YEAR(NovSun1+37)=Año,MONTH(NovSun1+37)=11),NovSun1+37, "")</f>
        <v/>
      </c>
      <c r="AC18" s="35" t="str">
        <f>IF(AND(YEAR(NovSun1+38)=Año,MONTH(NovSun1+38)=11),NovSun1+38, "")</f>
        <v/>
      </c>
      <c r="AD18" s="35" t="str">
        <f>IF(AND(YEAR(NovSun1+39)=Año,MONTH(NovSun1+39)=11),NovSun1+39, "")</f>
        <v/>
      </c>
      <c r="AE18" s="35" t="str">
        <f>IF(AND(YEAR(NovSun1+40)=Año,MONTH(NovSun1+40)=11),NovSun1+40, "")</f>
        <v/>
      </c>
      <c r="AF18" s="35" t="str">
        <f>IF(AND(YEAR(NovSun1+41)=Año,MONTH(NovSun1+41)=11),NovSun1+41, "")</f>
        <v/>
      </c>
    </row>
    <row r="20" spans="2:32" ht="20" thickBot="1" x14ac:dyDescent="0.2">
      <c r="B20" s="176" t="s">
        <v>92</v>
      </c>
      <c r="C20" s="176"/>
      <c r="D20" s="176"/>
      <c r="E20" s="176"/>
      <c r="F20" s="176"/>
      <c r="G20" s="176"/>
      <c r="H20" s="176"/>
      <c r="J20" s="176" t="s">
        <v>93</v>
      </c>
      <c r="K20" s="176"/>
      <c r="L20" s="176"/>
      <c r="M20" s="176"/>
      <c r="N20" s="176"/>
      <c r="O20" s="176"/>
      <c r="P20" s="176"/>
      <c r="R20" s="176" t="s">
        <v>94</v>
      </c>
      <c r="S20" s="176"/>
      <c r="T20" s="176"/>
      <c r="U20" s="176"/>
      <c r="V20" s="176"/>
      <c r="W20" s="176"/>
      <c r="X20" s="176"/>
      <c r="Z20" s="176" t="s">
        <v>95</v>
      </c>
      <c r="AA20" s="176"/>
      <c r="AB20" s="176"/>
      <c r="AC20" s="176"/>
      <c r="AD20" s="176"/>
      <c r="AE20" s="176"/>
      <c r="AF20" s="176"/>
    </row>
    <row r="21" spans="2:32" ht="18" customHeight="1" thickTop="1" x14ac:dyDescent="0.15">
      <c r="B21" s="174" t="s">
        <v>81</v>
      </c>
      <c r="C21" s="174" t="s">
        <v>82</v>
      </c>
      <c r="D21" s="174" t="s">
        <v>83</v>
      </c>
      <c r="E21" s="174" t="s">
        <v>84</v>
      </c>
      <c r="F21" s="174" t="s">
        <v>85</v>
      </c>
      <c r="G21" s="174" t="s">
        <v>86</v>
      </c>
      <c r="H21" s="174" t="s">
        <v>87</v>
      </c>
      <c r="J21" s="174" t="s">
        <v>81</v>
      </c>
      <c r="K21" s="174" t="s">
        <v>82</v>
      </c>
      <c r="L21" s="174" t="s">
        <v>83</v>
      </c>
      <c r="M21" s="174" t="s">
        <v>84</v>
      </c>
      <c r="N21" s="174" t="s">
        <v>85</v>
      </c>
      <c r="O21" s="174" t="s">
        <v>86</v>
      </c>
      <c r="P21" s="174" t="s">
        <v>87</v>
      </c>
      <c r="R21" s="174" t="s">
        <v>81</v>
      </c>
      <c r="S21" s="174" t="s">
        <v>82</v>
      </c>
      <c r="T21" s="174" t="s">
        <v>83</v>
      </c>
      <c r="U21" s="174" t="s">
        <v>84</v>
      </c>
      <c r="V21" s="174" t="s">
        <v>85</v>
      </c>
      <c r="W21" s="174" t="s">
        <v>86</v>
      </c>
      <c r="X21" s="174" t="s">
        <v>87</v>
      </c>
      <c r="Z21" s="174" t="s">
        <v>81</v>
      </c>
      <c r="AA21" s="174" t="s">
        <v>82</v>
      </c>
      <c r="AB21" s="174" t="s">
        <v>83</v>
      </c>
      <c r="AC21" s="174" t="s">
        <v>84</v>
      </c>
      <c r="AD21" s="174" t="s">
        <v>85</v>
      </c>
      <c r="AE21" s="174" t="s">
        <v>86</v>
      </c>
      <c r="AF21" s="174" t="s">
        <v>87</v>
      </c>
    </row>
    <row r="22" spans="2:32" ht="18" customHeight="1" x14ac:dyDescent="0.15">
      <c r="B22" s="35" t="str">
        <f>IF(AND(YEAR(MarSun1)=Año,MONTH(MarSun1)=3),MarSun1, "")</f>
        <v/>
      </c>
      <c r="C22" s="35" t="str">
        <f>IF(AND(YEAR(MarSun1+1)=Año,MONTH(MarSun1+1)=3),MarSun1+1, "")</f>
        <v/>
      </c>
      <c r="D22" s="35">
        <f>IF(AND(YEAR(MarSun1+2)=Año,MONTH(MarSun1+2)=3),MarSun1+2, "")</f>
        <v>44986</v>
      </c>
      <c r="E22" s="35">
        <f>IF(AND(YEAR(MarSun1+3)=Año,MONTH(MarSun1+3)=3),MarSun1+3, "")</f>
        <v>44987</v>
      </c>
      <c r="F22" s="35">
        <f>IF(AND(YEAR(MarSun1+4)=Año,MONTH(MarSun1+4)=3),MarSun1+4, "")</f>
        <v>44988</v>
      </c>
      <c r="G22" s="35">
        <f>IF(AND(YEAR(MarSun1+5)=Año,MONTH(MarSun1+5)=3),MarSun1+5, "")</f>
        <v>44989</v>
      </c>
      <c r="H22" s="35">
        <f>IF(AND(YEAR(MarSun1+6)=Año,MONTH(MarSun1+6)=3),MarSun1+6, "")</f>
        <v>44990</v>
      </c>
      <c r="J22" s="35" t="str">
        <f>IF(AND(YEAR(JunSun1)=Año,MONTH(JunSun1)=6),JunSun1, "")</f>
        <v/>
      </c>
      <c r="K22" s="35" t="str">
        <f>IF(AND(YEAR(JunSun1+1)=Año,MONTH(JunSun1+1)=6),JunSun1+1, "")</f>
        <v/>
      </c>
      <c r="L22" s="35" t="str">
        <f>IF(AND(YEAR(JunSun1+2)=Año,MONTH(JunSun1+2)=6),JunSun1+2, "")</f>
        <v/>
      </c>
      <c r="M22" s="35">
        <f>IF(AND(YEAR(JunSun1+3)=Año,MONTH(JunSun1+3)=6),JunSun1+3, "")</f>
        <v>45078</v>
      </c>
      <c r="N22" s="35">
        <f>IF(AND(YEAR(JunSun1+4)=Año,MONTH(JunSun1+4)=6),JunSun1+4, "")</f>
        <v>45079</v>
      </c>
      <c r="O22" s="35">
        <f>IF(AND(YEAR(JunSun1+5)=Año,MONTH(JunSun1+5)=6),JunSun1+5, "")</f>
        <v>45080</v>
      </c>
      <c r="P22" s="35">
        <f>IF(AND(YEAR(JunSun1+6)=Año,MONTH(JunSun1+6)=6),JunSun1+6, "")</f>
        <v>45081</v>
      </c>
      <c r="R22" s="35" t="str">
        <f>IF(AND(YEAR(SepDom1)=Año,MONTH(SepDom1)=9),SepDom1, "")</f>
        <v/>
      </c>
      <c r="S22" s="35" t="str">
        <f>IF(AND(YEAR(SepDom1+1)=Año,MONTH(SepDom1+1)=9),SepDom1+1, "")</f>
        <v/>
      </c>
      <c r="T22" s="35" t="str">
        <f>IF(AND(YEAR(SepDom1+2)=Año,MONTH(SepDom1+2)=9),SepDom1+2, "")</f>
        <v/>
      </c>
      <c r="U22" s="35" t="str">
        <f>IF(AND(YEAR(SepDom1+3)=Año,MONTH(SepDom1+3)=9),SepDom1+3, "")</f>
        <v/>
      </c>
      <c r="V22" s="35">
        <f>IF(AND(YEAR(SepDom1+4)=Año,MONTH(SepDom1+4)=9),SepDom1+4, "")</f>
        <v>45170</v>
      </c>
      <c r="W22" s="35">
        <f>IF(AND(YEAR(SepDom1+5)=Año,MONTH(SepDom1+5)=9),SepDom1+5, "")</f>
        <v>45171</v>
      </c>
      <c r="X22" s="35">
        <f>IF(AND(YEAR(SepDom1+6)=Año,MONTH(SepDom1+6)=9),SepDom1+6, "")</f>
        <v>45172</v>
      </c>
      <c r="Z22" s="35" t="str">
        <f>IF(AND(YEAR(DecSun1)=Año,MONTH(DecSun1)=12),DecSun1, "")</f>
        <v/>
      </c>
      <c r="AA22" s="35" t="str">
        <f>IF(AND(YEAR(DecSun1+1)=Año,MONTH(DecSun1+1)=12),DecSun1+1, "")</f>
        <v/>
      </c>
      <c r="AB22" s="35" t="str">
        <f>IF(AND(YEAR(DecSun1+2)=Año,MONTH(DecSun1+2)=12),DecSun1+2, "")</f>
        <v/>
      </c>
      <c r="AC22" s="35" t="str">
        <f>IF(AND(YEAR(DecSun1+3)=Año,MONTH(DecSun1+3)=12),DecSun1+3, "")</f>
        <v/>
      </c>
      <c r="AD22" s="35">
        <f>IF(AND(YEAR(DecSun1+4)=Año,MONTH(DecSun1+4)=12),DecSun1+4, "")</f>
        <v>45261</v>
      </c>
      <c r="AE22" s="35">
        <f>IF(AND(YEAR(DecSun1+5)=Año,MONTH(DecSun1+5)=12),DecSun1+5, "")</f>
        <v>45262</v>
      </c>
      <c r="AF22" s="35">
        <f>IF(AND(YEAR(DecSun1+6)=Año,MONTH(DecSun1+6)=12),DecSun1+6, "")</f>
        <v>45263</v>
      </c>
    </row>
    <row r="23" spans="2:32" ht="18" customHeight="1" x14ac:dyDescent="0.15">
      <c r="B23" s="35">
        <f>IF(AND(YEAR(MarSun1+7)=Año,MONTH(MarSun1+7)=3),MarSun1+7, "")</f>
        <v>44991</v>
      </c>
      <c r="C23" s="35">
        <f>IF(AND(YEAR(MarSun1+8)=Año,MONTH(MarSun1+8)=3),MarSun1+8, "")</f>
        <v>44992</v>
      </c>
      <c r="D23" s="35">
        <f>IF(AND(YEAR(MarSun1+9)=Año,MONTH(MarSun1+9)=3),MarSun1+9, "")</f>
        <v>44993</v>
      </c>
      <c r="E23" s="35">
        <f>IF(AND(YEAR(MarSun1+10)=Año,MONTH(MarSun1+10)=3),MarSun1+10, "")</f>
        <v>44994</v>
      </c>
      <c r="F23" s="35">
        <f>IF(AND(YEAR(MarSun1+11)=Año,MONTH(MarSun1+11)=3),MarSun1+11, "")</f>
        <v>44995</v>
      </c>
      <c r="G23" s="35">
        <f>IF(AND(YEAR(MarSun1+12)=Año,MONTH(MarSun1+12)=3),MarSun1+12, "")</f>
        <v>44996</v>
      </c>
      <c r="H23" s="35">
        <f>IF(AND(YEAR(MarSun1+13)=Año,MONTH(MarSun1+13)=3),MarSun1+13, "")</f>
        <v>44997</v>
      </c>
      <c r="J23" s="35">
        <f>IF(AND(YEAR(JunSun1+7)=Año,MONTH(JunSun1+7)=6),JunSun1+7, "")</f>
        <v>45082</v>
      </c>
      <c r="K23" s="35">
        <f>IF(AND(YEAR(JunSun1+8)=Año,MONTH(JunSun1+8)=6),JunSun1+8, "")</f>
        <v>45083</v>
      </c>
      <c r="L23" s="35">
        <f>IF(AND(YEAR(JunSun1+9)=Año,MONTH(JunSun1+9)=6),JunSun1+9, "")</f>
        <v>45084</v>
      </c>
      <c r="M23" s="35">
        <f>IF(AND(YEAR(JunSun1+10)=Año,MONTH(JunSun1+10)=6),JunSun1+10, "")</f>
        <v>45085</v>
      </c>
      <c r="N23" s="35">
        <f>IF(AND(YEAR(JunSun1+11)=Año,MONTH(JunSun1+11)=6),JunSun1+11, "")</f>
        <v>45086</v>
      </c>
      <c r="O23" s="35">
        <f>IF(AND(YEAR(JunSun1+12)=Año,MONTH(JunSun1+12)=6),JunSun1+12, "")</f>
        <v>45087</v>
      </c>
      <c r="P23" s="35">
        <f>IF(AND(YEAR(JunSun1+13)=Año,MONTH(JunSun1+13)=6),JunSun1+13, "")</f>
        <v>45088</v>
      </c>
      <c r="R23" s="35">
        <f>IF(AND(YEAR(SepDom1+7)=Año,MONTH(SepDom1+7)=9),SepDom1+7, "")</f>
        <v>45173</v>
      </c>
      <c r="S23" s="35">
        <f>IF(AND(YEAR(SepDom1+8)=Año,MONTH(SepDom1+8)=9),SepDom1+8, "")</f>
        <v>45174</v>
      </c>
      <c r="T23" s="35">
        <f>IF(AND(YEAR(SepDom1+9)=Año,MONTH(SepDom1+9)=9),SepDom1+9, "")</f>
        <v>45175</v>
      </c>
      <c r="U23" s="35">
        <f>IF(AND(YEAR(SepDom1+10)=Año,MONTH(SepDom1+10)=9),SepDom1+10, "")</f>
        <v>45176</v>
      </c>
      <c r="V23" s="35">
        <f>IF(AND(YEAR(SepDom1+11)=Año,MONTH(SepDom1+11)=9),SepDom1+11, "")</f>
        <v>45177</v>
      </c>
      <c r="W23" s="35">
        <f>IF(AND(YEAR(SepDom1+12)=Año,MONTH(SepDom1+12)=9),SepDom1+12, "")</f>
        <v>45178</v>
      </c>
      <c r="X23" s="35">
        <f>IF(AND(YEAR(SepDom1+13)=Año,MONTH(SepDom1+13)=9),SepDom1+13, "")</f>
        <v>45179</v>
      </c>
      <c r="Z23" s="35">
        <f>IF(AND(YEAR(DecSun1+7)=Año,MONTH(DecSun1+7)=12),DecSun1+7, "")</f>
        <v>45264</v>
      </c>
      <c r="AA23" s="35">
        <f>IF(AND(YEAR(DecSun1+8)=Año,MONTH(DecSun1+8)=12),DecSun1+8, "")</f>
        <v>45265</v>
      </c>
      <c r="AB23" s="35">
        <f>IF(AND(YEAR(DecSun1+9)=Año,MONTH(DecSun1+9)=12),DecSun1+9, "")</f>
        <v>45266</v>
      </c>
      <c r="AC23" s="35">
        <f>IF(AND(YEAR(DecSun1+10)=Año,MONTH(DecSun1+10)=12),DecSun1+10, "")</f>
        <v>45267</v>
      </c>
      <c r="AD23" s="35">
        <f>IF(AND(YEAR(DecSun1+11)=Año,MONTH(DecSun1+11)=12),DecSun1+11, "")</f>
        <v>45268</v>
      </c>
      <c r="AE23" s="35">
        <f>IF(AND(YEAR(DecSun1+12)=Año,MONTH(DecSun1+12)=12),DecSun1+12, "")</f>
        <v>45269</v>
      </c>
      <c r="AF23" s="35">
        <f>IF(AND(YEAR(DecSun1+13)=Año,MONTH(DecSun1+13)=12),DecSun1+13, "")</f>
        <v>45270</v>
      </c>
    </row>
    <row r="24" spans="2:32" ht="18" customHeight="1" x14ac:dyDescent="0.15">
      <c r="B24" s="35">
        <f>IF(AND(YEAR(MarSun1+14)=Año,MONTH(MarSun1+14)=3),MarSun1+14, "")</f>
        <v>44998</v>
      </c>
      <c r="C24" s="35">
        <f>IF(AND(YEAR(MarSun1+15)=Año,MONTH(MarSun1+15)=3),MarSun1+15, "")</f>
        <v>44999</v>
      </c>
      <c r="D24" s="35">
        <f>IF(AND(YEAR(MarSun1+16)=Año,MONTH(MarSun1+16)=3),MarSun1+16, "")</f>
        <v>45000</v>
      </c>
      <c r="E24" s="35">
        <f>IF(AND(YEAR(MarSun1+17)=Año,MONTH(MarSun1+17)=3),MarSun1+17, "")</f>
        <v>45001</v>
      </c>
      <c r="F24" s="35">
        <f>IF(AND(YEAR(MarSun1+18)=Año,MONTH(MarSun1+18)=3),MarSun1+18, "")</f>
        <v>45002</v>
      </c>
      <c r="G24" s="35">
        <f>IF(AND(YEAR(MarSun1+19)=Año,MONTH(MarSun1+19)=3),MarSun1+19, "")</f>
        <v>45003</v>
      </c>
      <c r="H24" s="35">
        <f>IF(AND(YEAR(MarSun1+20)=Año,MONTH(MarSun1+20)=3),MarSun1+20, "")</f>
        <v>45004</v>
      </c>
      <c r="J24" s="35">
        <f>IF(AND(YEAR(JunSun1+14)=Año,MONTH(JunSun1+14)=6),JunSun1+14, "")</f>
        <v>45089</v>
      </c>
      <c r="K24" s="35">
        <f>IF(AND(YEAR(JunSun1+15)=Año,MONTH(JunSun1+15)=6),JunSun1+15, "")</f>
        <v>45090</v>
      </c>
      <c r="L24" s="35">
        <f>IF(AND(YEAR(JunSun1+16)=Año,MONTH(JunSun1+16)=6),JunSun1+16, "")</f>
        <v>45091</v>
      </c>
      <c r="M24" s="35">
        <f>IF(AND(YEAR(JunSun1+17)=Año,MONTH(JunSun1+17)=6),JunSun1+17, "")</f>
        <v>45092</v>
      </c>
      <c r="N24" s="35">
        <f>IF(AND(YEAR(JunSun1+18)=Año,MONTH(JunSun1+18)=6),JunSun1+18, "")</f>
        <v>45093</v>
      </c>
      <c r="O24" s="35">
        <f>IF(AND(YEAR(JunSun1+19)=Año,MONTH(JunSun1+19)=6),JunSun1+19, "")</f>
        <v>45094</v>
      </c>
      <c r="P24" s="35">
        <f>IF(AND(YEAR(JunSun1+20)=Año,MONTH(JunSun1+20)=6),JunSun1+20, "")</f>
        <v>45095</v>
      </c>
      <c r="R24" s="35">
        <f>IF(AND(YEAR(SepDom1+14)=Año,MONTH(SepDom1+14)=9),SepDom1+14, "")</f>
        <v>45180</v>
      </c>
      <c r="S24" s="35">
        <f>IF(AND(YEAR(SepDom1+15)=Año,MONTH(SepDom1+15)=9),SepDom1+15, "")</f>
        <v>45181</v>
      </c>
      <c r="T24" s="35">
        <f>IF(AND(YEAR(SepDom1+16)=Año,MONTH(SepDom1+16)=9),SepDom1+16, "")</f>
        <v>45182</v>
      </c>
      <c r="U24" s="35">
        <f>IF(AND(YEAR(SepDom1+17)=Año,MONTH(SepDom1+17)=9),SepDom1+17, "")</f>
        <v>45183</v>
      </c>
      <c r="V24" s="35">
        <f>IF(AND(YEAR(SepDom1+18)=Año,MONTH(SepDom1+18)=9),SepDom1+18, "")</f>
        <v>45184</v>
      </c>
      <c r="W24" s="35">
        <f>IF(AND(YEAR(SepDom1+19)=Año,MONTH(SepDom1+19)=9),SepDom1+19, "")</f>
        <v>45185</v>
      </c>
      <c r="X24" s="35">
        <f>IF(AND(YEAR(SepDom1+20)=Año,MONTH(SepDom1+20)=9),SepDom1+20, "")</f>
        <v>45186</v>
      </c>
      <c r="Z24" s="35">
        <f>IF(AND(YEAR(DecSun1+14)=Año,MONTH(DecSun1+14)=12),DecSun1+14, "")</f>
        <v>45271</v>
      </c>
      <c r="AA24" s="35">
        <f>IF(AND(YEAR(DecSun1+15)=Año,MONTH(DecSun1+15)=12),DecSun1+15, "")</f>
        <v>45272</v>
      </c>
      <c r="AB24" s="35">
        <f>IF(AND(YEAR(DecSun1+16)=Año,MONTH(DecSun1+16)=12),DecSun1+16, "")</f>
        <v>45273</v>
      </c>
      <c r="AC24" s="35">
        <f>IF(AND(YEAR(DecSun1+17)=Año,MONTH(DecSun1+17)=12),DecSun1+17, "")</f>
        <v>45274</v>
      </c>
      <c r="AD24" s="35">
        <f>IF(AND(YEAR(DecSun1+18)=Año,MONTH(DecSun1+18)=12),DecSun1+18, "")</f>
        <v>45275</v>
      </c>
      <c r="AE24" s="35">
        <f>IF(AND(YEAR(DecSun1+19)=Año,MONTH(DecSun1+19)=12),DecSun1+19, "")</f>
        <v>45276</v>
      </c>
      <c r="AF24" s="35">
        <f>IF(AND(YEAR(DecSun1+20)=Año,MONTH(DecSun1+20)=12),DecSun1+20, "")</f>
        <v>45277</v>
      </c>
    </row>
    <row r="25" spans="2:32" ht="18" customHeight="1" x14ac:dyDescent="0.15">
      <c r="B25" s="35">
        <f>IF(AND(YEAR(MarSun1+21)=Año,MONTH(MarSun1+21)=3),MarSun1+21, "")</f>
        <v>45005</v>
      </c>
      <c r="C25" s="35">
        <f>IF(AND(YEAR(MarSun1+22)=Año,MONTH(MarSun1+22)=3),MarSun1+22, "")</f>
        <v>45006</v>
      </c>
      <c r="D25" s="35">
        <f>IF(AND(YEAR(MarSun1+23)=Año,MONTH(MarSun1+23)=3),MarSun1+23, "")</f>
        <v>45007</v>
      </c>
      <c r="E25" s="35">
        <f>IF(AND(YEAR(MarSun1+24)=Año,MONTH(MarSun1+24)=3),MarSun1+24, "")</f>
        <v>45008</v>
      </c>
      <c r="F25" s="35">
        <f>IF(AND(YEAR(MarSun1+25)=Año,MONTH(MarSun1+25)=3),MarSun1+25, "")</f>
        <v>45009</v>
      </c>
      <c r="G25" s="35">
        <f>IF(AND(YEAR(MarSun1+26)=Año,MONTH(MarSun1+26)=3),MarSun1+26, "")</f>
        <v>45010</v>
      </c>
      <c r="H25" s="35">
        <f>IF(AND(YEAR(MarSun1+27)=Año,MONTH(MarSun1+27)=3),MarSun1+27, "")</f>
        <v>45011</v>
      </c>
      <c r="J25" s="35">
        <f>IF(AND(YEAR(JunSun1+21)=Año,MONTH(JunSun1+21)=6),JunSun1+21, "")</f>
        <v>45096</v>
      </c>
      <c r="K25" s="35">
        <f>IF(AND(YEAR(JunSun1+22)=Año,MONTH(JunSun1+22)=6),JunSun1+22, "")</f>
        <v>45097</v>
      </c>
      <c r="L25" s="35">
        <f>IF(AND(YEAR(JunSun1+23)=Año,MONTH(JunSun1+23)=6),JunSun1+23, "")</f>
        <v>45098</v>
      </c>
      <c r="M25" s="35">
        <f>IF(AND(YEAR(JunSun1+24)=Año,MONTH(JunSun1+24)=6),JunSun1+24, "")</f>
        <v>45099</v>
      </c>
      <c r="N25" s="35">
        <f>IF(AND(YEAR(JunSun1+25)=Año,MONTH(JunSun1+25)=6),JunSun1+25, "")</f>
        <v>45100</v>
      </c>
      <c r="O25" s="35">
        <f>IF(AND(YEAR(JunSun1+26)=Año,MONTH(JunSun1+26)=6),JunSun1+26, "")</f>
        <v>45101</v>
      </c>
      <c r="P25" s="35">
        <f>IF(AND(YEAR(JunSun1+27)=Año,MONTH(JunSun1+27)=6),JunSun1+27, "")</f>
        <v>45102</v>
      </c>
      <c r="R25" s="35">
        <f>IF(AND(YEAR(SepDom1+21)=Año,MONTH(SepDom1+21)=9),SepDom1+21, "")</f>
        <v>45187</v>
      </c>
      <c r="S25" s="35">
        <f>IF(AND(YEAR(SepDom1+22)=Año,MONTH(SepDom1+22)=9),SepDom1+22, "")</f>
        <v>45188</v>
      </c>
      <c r="T25" s="35">
        <f>IF(AND(YEAR(SepDom1+23)=Año,MONTH(SepDom1+23)=9),SepDom1+23, "")</f>
        <v>45189</v>
      </c>
      <c r="U25" s="35">
        <f>IF(AND(YEAR(SepDom1+24)=Año,MONTH(SepDom1+24)=9),SepDom1+24, "")</f>
        <v>45190</v>
      </c>
      <c r="V25" s="35">
        <f>IF(AND(YEAR(SepDom1+25)=Año,MONTH(SepDom1+25)=9),SepDom1+25, "")</f>
        <v>45191</v>
      </c>
      <c r="W25" s="35">
        <f>IF(AND(YEAR(SepDom1+26)=Año,MONTH(SepDom1+26)=9),SepDom1+26, "")</f>
        <v>45192</v>
      </c>
      <c r="X25" s="35">
        <f>IF(AND(YEAR(SepDom1+27)=Año,MONTH(SepDom1+27)=9),SepDom1+27, "")</f>
        <v>45193</v>
      </c>
      <c r="Z25" s="35">
        <f>IF(AND(YEAR(DecSun1+21)=Año,MONTH(DecSun1+21)=12),DecSun1+21, "")</f>
        <v>45278</v>
      </c>
      <c r="AA25" s="35">
        <f>IF(AND(YEAR(DecSun1+22)=Año,MONTH(DecSun1+22)=12),DecSun1+22, "")</f>
        <v>45279</v>
      </c>
      <c r="AB25" s="35">
        <f>IF(AND(YEAR(DecSun1+23)=Año,MONTH(DecSun1+23)=12),DecSun1+23, "")</f>
        <v>45280</v>
      </c>
      <c r="AC25" s="35">
        <f>IF(AND(YEAR(DecSun1+24)=Año,MONTH(DecSun1+24)=12),DecSun1+24, "")</f>
        <v>45281</v>
      </c>
      <c r="AD25" s="35">
        <f>IF(AND(YEAR(DecSun1+25)=Año,MONTH(DecSun1+25)=12),DecSun1+25, "")</f>
        <v>45282</v>
      </c>
      <c r="AE25" s="35">
        <f>IF(AND(YEAR(DecSun1+26)=Año,MONTH(DecSun1+26)=12),DecSun1+26, "")</f>
        <v>45283</v>
      </c>
      <c r="AF25" s="35">
        <f>IF(AND(YEAR(DecSun1+27)=Año,MONTH(DecSun1+27)=12),DecSun1+27, "")</f>
        <v>45284</v>
      </c>
    </row>
    <row r="26" spans="2:32" ht="18" customHeight="1" x14ac:dyDescent="0.15">
      <c r="B26" s="35">
        <f>IF(AND(YEAR(MarSun1+28)=Año,MONTH(MarSun1+28)=3),MarSun1+28, "")</f>
        <v>45012</v>
      </c>
      <c r="C26" s="35">
        <f>IF(AND(YEAR(MarSun1+29)=Año,MONTH(MarSun1+29)=3),MarSun1+29, "")</f>
        <v>45013</v>
      </c>
      <c r="D26" s="35">
        <f>IF(AND(YEAR(MarSun1+30)=Año,MONTH(MarSun1+30)=3),MarSun1+30, "")</f>
        <v>45014</v>
      </c>
      <c r="E26" s="35">
        <f>IF(AND(YEAR(MarSun1+31)=Año,MONTH(MarSun1+31)=3),MarSun1+31, "")</f>
        <v>45015</v>
      </c>
      <c r="F26" s="35">
        <f>IF(AND(YEAR(MarSun1+32)=Año,MONTH(MarSun1+32)=3),MarSun1+32, "")</f>
        <v>45016</v>
      </c>
      <c r="G26" s="35" t="str">
        <f>IF(AND(YEAR(MarSun1+33)=Año,MONTH(MarSun1+33)=3),MarSun1+33, "")</f>
        <v/>
      </c>
      <c r="H26" s="35" t="str">
        <f>IF(AND(YEAR(MarSun1+34)=Año,MONTH(MarSun1+34)=3),MarSun1+34, "")</f>
        <v/>
      </c>
      <c r="J26" s="35">
        <f>IF(AND(YEAR(JunSun1+28)=Año,MONTH(JunSun1+28)=6),JunSun1+28, "")</f>
        <v>45103</v>
      </c>
      <c r="K26" s="35">
        <f>IF(AND(YEAR(JunSun1+29)=Año,MONTH(JunSun1+29)=6),JunSun1+29, "")</f>
        <v>45104</v>
      </c>
      <c r="L26" s="35">
        <f>IF(AND(YEAR(JunSun1+30)=Año,MONTH(JunSun1+30)=6),JunSun1+30, "")</f>
        <v>45105</v>
      </c>
      <c r="M26" s="35">
        <f>IF(AND(YEAR(JunSun1+31)=Año,MONTH(JunSun1+31)=6),JunSun1+31, "")</f>
        <v>45106</v>
      </c>
      <c r="N26" s="35">
        <f>IF(AND(YEAR(JunSun1+32)=Año,MONTH(JunSun1+32)=6),JunSun1+32, "")</f>
        <v>45107</v>
      </c>
      <c r="O26" s="35" t="str">
        <f>IF(AND(YEAR(JunSun1+33)=Año,MONTH(JunSun1+33)=6),JunSun1+33, "")</f>
        <v/>
      </c>
      <c r="P26" s="35" t="str">
        <f>IF(AND(YEAR(JunSun1+34)=Año,MONTH(JunSun1+34)=6),JunSun1+34, "")</f>
        <v/>
      </c>
      <c r="R26" s="35">
        <f>IF(AND(YEAR(SepDom1+28)=Año,MONTH(SepDom1+28)=9),SepDom1+28, "")</f>
        <v>45194</v>
      </c>
      <c r="S26" s="35">
        <f>IF(AND(YEAR(SepDom1+29)=Año,MONTH(SepDom1+29)=9),SepDom1+29, "")</f>
        <v>45195</v>
      </c>
      <c r="T26" s="35">
        <f>IF(AND(YEAR(SepDom1+30)=Año,MONTH(SepDom1+30)=9),SepDom1+30, "")</f>
        <v>45196</v>
      </c>
      <c r="U26" s="35">
        <f>IF(AND(YEAR(SepDom1+31)=Año,MONTH(SepDom1+31)=9),SepDom1+31, "")</f>
        <v>45197</v>
      </c>
      <c r="V26" s="35">
        <f>IF(AND(YEAR(SepDom1+32)=Año,MONTH(SepDom1+32)=9),SepDom1+32, "")</f>
        <v>45198</v>
      </c>
      <c r="W26" s="35">
        <f>IF(AND(YEAR(SepDom1+33)=Año,MONTH(SepDom1+33)=9),SepDom1+33, "")</f>
        <v>45199</v>
      </c>
      <c r="X26" s="35" t="str">
        <f>IF(AND(YEAR(SepDom1+34)=Año,MONTH(SepDom1+34)=9),SepDom1+34, "")</f>
        <v/>
      </c>
      <c r="Z26" s="35">
        <f>IF(AND(YEAR(DecSun1+28)=Año,MONTH(DecSun1+28)=12),DecSun1+28, "")</f>
        <v>45285</v>
      </c>
      <c r="AA26" s="35">
        <f>IF(AND(YEAR(DecSun1+29)=Año,MONTH(DecSun1+29)=12),DecSun1+29, "")</f>
        <v>45286</v>
      </c>
      <c r="AB26" s="35">
        <f>IF(AND(YEAR(DecSun1+30)=Año,MONTH(DecSun1+30)=12),DecSun1+30, "")</f>
        <v>45287</v>
      </c>
      <c r="AC26" s="35">
        <f>IF(AND(YEAR(DecSun1+31)=Año,MONTH(DecSun1+31)=12),DecSun1+31, "")</f>
        <v>45288</v>
      </c>
      <c r="AD26" s="35">
        <f>IF(AND(YEAR(DecSun1+32)=Año,MONTH(DecSun1+32)=12),DecSun1+32, "")</f>
        <v>45289</v>
      </c>
      <c r="AE26" s="35">
        <f>IF(AND(YEAR(DecSun1+33)=Año,MONTH(DecSun1+33)=12),DecSun1+33, "")</f>
        <v>45290</v>
      </c>
      <c r="AF26" s="35">
        <f>IF(AND(YEAR(DecSun1+34)=Año,MONTH(DecSun1+34)=12),DecSun1+34, "")</f>
        <v>45291</v>
      </c>
    </row>
    <row r="27" spans="2:32" ht="18" customHeight="1" x14ac:dyDescent="0.15">
      <c r="B27" s="35" t="str">
        <f>IF(AND(YEAR(MarSun1+35)=Año,MONTH(MarSun1+35)=3),MarSun1+35, "")</f>
        <v/>
      </c>
      <c r="C27" s="35" t="str">
        <f>IF(AND(YEAR(MarSun1+36)=Año,MONTH(MarSun1+36)=3),MarSun1+36, "")</f>
        <v/>
      </c>
      <c r="D27" s="35" t="str">
        <f>IF(AND(YEAR(MarSun1+37)=Año,MONTH(MarSun1+37)=3),MarSun1+37, "")</f>
        <v/>
      </c>
      <c r="E27" s="35" t="str">
        <f>IF(AND(YEAR(MarSun1+38)=Año,MONTH(MarSun1+38)=3),MarSun1+38, "")</f>
        <v/>
      </c>
      <c r="F27" s="35" t="str">
        <f>IF(AND(YEAR(MarSun1+39)=Año,MONTH(MarSun1+39)=3),MarSun1+39, "")</f>
        <v/>
      </c>
      <c r="G27" s="35" t="str">
        <f>IF(AND(YEAR(MarSun1+40)=Año,MONTH(MarSun1+40)=3),MarSun1+40, "")</f>
        <v/>
      </c>
      <c r="H27" s="35" t="str">
        <f>IF(AND(YEAR(MarSun1+41)=Año,MONTH(MarSun1+41)=3),MarSun1+41, "")</f>
        <v/>
      </c>
      <c r="J27" s="35" t="str">
        <f>IF(AND(YEAR(JunSun1+35)=Año,MONTH(JunSun1+35)=6),JunSun1+35, "")</f>
        <v/>
      </c>
      <c r="K27" s="35" t="str">
        <f>IF(AND(YEAR(JunSun1+36)=Año,MONTH(JunSun1+36)=6),JunSun1+36, "")</f>
        <v/>
      </c>
      <c r="L27" s="35" t="str">
        <f>IF(AND(YEAR(JunSun1+37)=Año,MONTH(JunSun1+37)=6),JunSun1+37, "")</f>
        <v/>
      </c>
      <c r="M27" s="35" t="str">
        <f>IF(AND(YEAR(JunSun1+38)=Año,MONTH(JunSun1+38)=6),JunSun1+38, "")</f>
        <v/>
      </c>
      <c r="N27" s="35" t="str">
        <f>IF(AND(YEAR(JunSun1+39)=Año,MONTH(JunSun1+39)=6),JunSun1+39, "")</f>
        <v/>
      </c>
      <c r="O27" s="35" t="str">
        <f>IF(AND(YEAR(JunSun1+40)=Año,MONTH(JunSun1+40)=6),JunSun1+40, "")</f>
        <v/>
      </c>
      <c r="P27" s="35" t="str">
        <f>IF(AND(YEAR(JunSun1+41)=Año,MONTH(JunSun1+41)=6),JunSun1+41, "")</f>
        <v/>
      </c>
      <c r="R27" s="35" t="str">
        <f>IF(AND(YEAR(SepDom1+35)=Año,MONTH(SepDom1+35)=9),SepDom1+35, "")</f>
        <v/>
      </c>
      <c r="S27" s="35" t="str">
        <f>IF(AND(YEAR(SepDom1+36)=Año,MONTH(SepDom1+36)=9),SepDom1+36, "")</f>
        <v/>
      </c>
      <c r="T27" s="35" t="str">
        <f>IF(AND(YEAR(SepDom1+37)=Año,MONTH(SepDom1+37)=9),SepDom1+37, "")</f>
        <v/>
      </c>
      <c r="U27" s="35" t="str">
        <f>IF(AND(YEAR(SepDom1+38)=Año,MONTH(SepDom1+38)=9),SepDom1+38, "")</f>
        <v/>
      </c>
      <c r="V27" s="35" t="str">
        <f>IF(AND(YEAR(SepDom1+39)=Año,MONTH(SepDom1+39)=9),SepDom1+39, "")</f>
        <v/>
      </c>
      <c r="W27" s="35" t="str">
        <f>IF(AND(YEAR(SepDom1+40)=Año,MONTH(SepDom1+40)=9),SepDom1+40, "")</f>
        <v/>
      </c>
      <c r="X27" s="35" t="str">
        <f>IF(AND(YEAR(SepDom1+41)=Año,MONTH(SepDom1+41)=9),SepDom1+41, "")</f>
        <v/>
      </c>
      <c r="Z27" s="35" t="str">
        <f>IF(AND(YEAR(DecSun1+35)=Año,MONTH(DecSun1+35)=12),DecSun1+35, "")</f>
        <v/>
      </c>
      <c r="AA27" s="35" t="str">
        <f>IF(AND(YEAR(DecSun1+36)=Año,MONTH(DecSun1+36)=12),DecSun1+36, "")</f>
        <v/>
      </c>
      <c r="AB27" s="35" t="str">
        <f>IF(AND(YEAR(DecSun1+37)=Año,MONTH(DecSun1+37)=12),DecSun1+37, "")</f>
        <v/>
      </c>
      <c r="AC27" s="35" t="str">
        <f>IF(AND(YEAR(DecSun1+38)=Año,MONTH(DecSun1+38)=12),DecSun1+38, "")</f>
        <v/>
      </c>
      <c r="AD27" s="35" t="str">
        <f>IF(AND(YEAR(DecSun1+39)=Año,MONTH(DecSun1+39)=12),DecSun1+39, "")</f>
        <v/>
      </c>
      <c r="AE27" s="35" t="str">
        <f>IF(AND(YEAR(DecSun1+40)=Año,MONTH(DecSun1+40)=12),DecSun1+40, "")</f>
        <v/>
      </c>
      <c r="AF27" s="35" t="str">
        <f>IF(AND(YEAR(DecSun1+41)=Año,MONTH(DecSun1+41)=12),DecSun1+41, "")</f>
        <v/>
      </c>
    </row>
    <row r="29" spans="2:32" hidden="1" x14ac:dyDescent="0.15"/>
    <row r="30" spans="2:32" hidden="1" x14ac:dyDescent="0.15">
      <c r="B30" s="173" t="s">
        <v>96</v>
      </c>
    </row>
    <row r="31" spans="2:32" hidden="1" x14ac:dyDescent="0.15">
      <c r="B31" s="173" t="s">
        <v>97</v>
      </c>
    </row>
    <row r="32" spans="2:32" hidden="1" x14ac:dyDescent="0.15">
      <c r="B32" s="173" t="s">
        <v>98</v>
      </c>
    </row>
    <row r="33" spans="2:2" hidden="1" x14ac:dyDescent="0.15">
      <c r="B33" s="173" t="s">
        <v>99</v>
      </c>
    </row>
    <row r="34" spans="2:2" hidden="1" x14ac:dyDescent="0.15">
      <c r="B34" s="173" t="s">
        <v>100</v>
      </c>
    </row>
    <row r="35" spans="2:2" hidden="1" x14ac:dyDescent="0.15">
      <c r="B35" s="173" t="s">
        <v>101</v>
      </c>
    </row>
    <row r="36" spans="2:2" hidden="1" x14ac:dyDescent="0.15">
      <c r="B36" s="173" t="s">
        <v>102</v>
      </c>
    </row>
    <row r="37" spans="2:2" hidden="1" x14ac:dyDescent="0.15">
      <c r="B37" s="173" t="s">
        <v>103</v>
      </c>
    </row>
    <row r="38" spans="2:2" hidden="1" x14ac:dyDescent="0.15">
      <c r="B38" s="173" t="s">
        <v>51</v>
      </c>
    </row>
    <row r="39" spans="2:2" hidden="1" x14ac:dyDescent="0.15">
      <c r="B39" s="173" t="s">
        <v>54</v>
      </c>
    </row>
    <row r="40" spans="2:2" hidden="1" x14ac:dyDescent="0.15">
      <c r="B40" s="173" t="s">
        <v>55</v>
      </c>
    </row>
    <row r="41" spans="2:2" hidden="1" x14ac:dyDescent="0.15">
      <c r="B41" s="173" t="s">
        <v>56</v>
      </c>
    </row>
    <row r="42" spans="2:2" hidden="1" x14ac:dyDescent="0.15"/>
  </sheetData>
  <mergeCells count="13">
    <mergeCell ref="B20:H20"/>
    <mergeCell ref="J20:P20"/>
    <mergeCell ref="R20:X20"/>
    <mergeCell ref="Z20:AF20"/>
    <mergeCell ref="B1:AF1"/>
    <mergeCell ref="B2:H2"/>
    <mergeCell ref="J2:P2"/>
    <mergeCell ref="R2:X2"/>
    <mergeCell ref="Z2:AF2"/>
    <mergeCell ref="B11:H11"/>
    <mergeCell ref="J11:P11"/>
    <mergeCell ref="R11:X11"/>
    <mergeCell ref="Z11:AF11"/>
  </mergeCells>
  <dataValidations count="38">
    <dataValidation allowBlank="1" showInputMessage="1" showErrorMessage="1" prompt="Los días hábiles para el mes en la celda superior se encuentran en las celdas Z21 a AF21" sqref="Z21" xr:uid="{15D29D15-D4C5-EB43-B3B8-3F24E7781A71}"/>
    <dataValidation allowBlank="1" showInputMessage="1" showErrorMessage="1" prompt="Los días hábiles para el mes en la celda superior se encuentran en las celdas R21 a X21" sqref="R21" xr:uid="{3DD7BA36-04BD-5D4A-A95B-61B775A56184}"/>
    <dataValidation allowBlank="1" showInputMessage="1" showErrorMessage="1" prompt="Los días hábiles para el mes en la celda superior se encuentran en las celdas J21 a P21" sqref="J21" xr:uid="{5E3F40AA-A731-D748-8A25-BBD4C8992C3D}"/>
    <dataValidation allowBlank="1" showInputMessage="1" showErrorMessage="1" prompt="Los días hábiles para el mes en la celda superior se encuentran en las celdas B21 a H21" sqref="B21" xr:uid="{B1658AC5-60E6-8141-9B42-3B62703CF897}"/>
    <dataValidation allowBlank="1" showInputMessage="1" showErrorMessage="1" prompt="Los días hábiles para el mes en la celda superior se encuentran en las celdas Z12 a AF12" sqref="Z12" xr:uid="{04A8E101-783F-0B4A-9086-CF8B5A03318D}"/>
    <dataValidation allowBlank="1" showInputMessage="1" showErrorMessage="1" prompt="Los días hábiles para el mes en la celda superior se encuentran en las celdas R12 a X12" sqref="R12" xr:uid="{A1AAAA96-637C-D24C-87E2-9F2886EDA15C}"/>
    <dataValidation allowBlank="1" showInputMessage="1" showErrorMessage="1" prompt="Los días hábiles para el mes en la celda superior se encuentran en las celdas J12 a P12" sqref="J12" xr:uid="{B9BCEA44-3DF2-DC44-93E5-3212797C2F49}"/>
    <dataValidation allowBlank="1" showInputMessage="1" showErrorMessage="1" prompt="Los días hábiles para el mes en la celda superior se encuentran en las celdas B12 a H12" sqref="B12" xr:uid="{E48618D9-AEBE-AF42-9E64-C4358BB029F4}"/>
    <dataValidation allowBlank="1" showInputMessage="1" showErrorMessage="1" prompt="Los días hábiles para el mes en la celda superior se encuentran en las celdas Z3 a AF3" sqref="Z3" xr:uid="{1541FD24-76D2-2345-AC72-0C9B8EB19FFB}"/>
    <dataValidation allowBlank="1" showInputMessage="1" showErrorMessage="1" prompt="Los días hábiles para el mes en la celda superior se encuentran en las celdas R3 a X3" sqref="R3" xr:uid="{79A9669B-FA66-2A47-AD8E-D8AF1C5904E0}"/>
    <dataValidation allowBlank="1" showInputMessage="1" showErrorMessage="1" prompt="Los días hábiles para el mes en la celda superior se encuentran en las celdas J3 a P3" sqref="J3" xr:uid="{FC8C8F4E-95D0-FC42-8714-0AC3520834CF}"/>
    <dataValidation allowBlank="1" showInputMessage="1" showErrorMessage="1" prompt="Los días laborables para el mes de la celda superior se encuentran en las celdas B3 a H3" sqref="B3" xr:uid="{0BEC4A7B-0EEE-2741-8F2E-6651EAFEABCE}"/>
    <dataValidation allowBlank="1" showInputMessage="1" showErrorMessage="1" prompt="Los días del calendario para este mes se actualizan automáticamente en las celdas Z22 a AF27" sqref="Z22" xr:uid="{A3D578A2-8DD7-884F-A2A4-3BA47612BF29}"/>
    <dataValidation allowBlank="1" showInputMessage="1" showErrorMessage="1" prompt="Los días del calendario para este mes se actualizan automáticamente en las celdas R22 a X27" sqref="R22" xr:uid="{3BD619DE-1BB6-8E4D-8672-1A68526B6730}"/>
    <dataValidation allowBlank="1" showInputMessage="1" showErrorMessage="1" prompt="Los días del calendario para este mes se actualizan automáticamente en las celdas J22 a P27" sqref="J22" xr:uid="{56DF3778-A52D-0A4B-B29C-BEF585F71743}"/>
    <dataValidation allowBlank="1" showInputMessage="1" showErrorMessage="1" prompt="Los días del calendario para este mes se actualizan automáticamente en las celdas B22 a H27" sqref="B22" xr:uid="{7DF489C8-5D5A-EA42-A149-67D53438EA00}"/>
    <dataValidation allowBlank="1" showInputMessage="1" showErrorMessage="1" prompt="Los días del calendario para este mes se actualizan automáticamente en las celdas Z13 a AF18" sqref="Z13" xr:uid="{CE44666F-DC1D-D74B-B0DE-821A72521B07}"/>
    <dataValidation allowBlank="1" showInputMessage="1" showErrorMessage="1" prompt="Los días del calendario para este mes se actualizan automáticamente en las celdas R13 a X18" sqref="R13" xr:uid="{F73D5FD4-C293-7146-98D8-2C11093E8E67}"/>
    <dataValidation allowBlank="1" showInputMessage="1" showErrorMessage="1" prompt="Los días del calendario para este mes se actualizan automáticamente en las celdas J13 a P18" sqref="J13" xr:uid="{7F1BD0FA-76A5-A649-A0D5-8E3531A6C362}"/>
    <dataValidation allowBlank="1" showInputMessage="1" showErrorMessage="1" prompt="Los días del calendario para este mes se actualizan automáticamente en las celdas B13 a H18" sqref="B13" xr:uid="{2428A1EA-368F-0040-A40B-1380BD87690B}"/>
    <dataValidation allowBlank="1" showInputMessage="1" showErrorMessage="1" prompt="Los días del calendario para este mes se actualizan automáticamente en las celdas Z4 a AF9" sqref="Z4" xr:uid="{E73FD2DB-61A5-7A48-8F52-1F435225E8FE}"/>
    <dataValidation allowBlank="1" showInputMessage="1" showErrorMessage="1" prompt="Los días del calendario para este mes se actualizan automáticamente en las celdas R4 a X9" sqref="R4" xr:uid="{121065A0-0258-324B-948B-10BDF74906B7}"/>
    <dataValidation allowBlank="1" showInputMessage="1" showErrorMessage="1" prompt="Los días del calendario para este mes se actualizan automáticamente en las celdas J4 a P9" sqref="J4" xr:uid="{5603C410-C0D0-3347-B975-19AE98DD0910}"/>
    <dataValidation allowBlank="1" showInputMessage="1" showErrorMessage="1" prompt="Los días del calendario para este mes se actualizan automáticamente en las celdas B4 a H9" sqref="B4" xr:uid="{41B5161A-8327-3544-B6AF-974512F5A4C1}"/>
    <dataValidation allowBlank="1" showInputMessage="1" showErrorMessage="1" prompt="El calendario para este mes está en esta celda. Se actualiza automáticamente en las celdas Z21 a AF27" sqref="Z20:AF20" xr:uid="{0FA123A0-AE24-5F4C-91A0-EEE5E23B0AE5}"/>
    <dataValidation allowBlank="1" showInputMessage="1" showErrorMessage="1" prompt="El calendario para este mes está en esta celda. Se actualiza automáticamente en las celdas R21 a X27" sqref="R20:X20" xr:uid="{C0F0C0F1-17B1-654B-94FA-ADC06B6E1F60}"/>
    <dataValidation allowBlank="1" showInputMessage="1" showErrorMessage="1" prompt="El calendario para este mes está en esta celda. Se actualiza automáticamente en las celdas J21 a P27" sqref="J20:P20" xr:uid="{A14C4E37-7604-C549-A4CE-5F536CCFF9F4}"/>
    <dataValidation allowBlank="1" showInputMessage="1" showErrorMessage="1" prompt="El calendario para este mes está en esta celda. Se actualiza automáticamente en las celdas Z12 a AF18" sqref="Z11:AF11" xr:uid="{E872C57E-F6BC-6D46-94B3-A0DB52595068}"/>
    <dataValidation allowBlank="1" showInputMessage="1" showErrorMessage="1" prompt="El calendario para este mes está en esta celda. Se actualiza automáticamente en las celdas R12 a X18" sqref="R11:X11" xr:uid="{A457B44B-B0F9-0947-9840-C4394AB12528}"/>
    <dataValidation allowBlank="1" showInputMessage="1" showErrorMessage="1" prompt="El calendario para este mes está en esta celda. Se actualiza automáticamente en las celdas J12 a P18" sqref="J11:P11" xr:uid="{BB15BB1A-45F7-8047-BF7A-4C26C97EDDB2}"/>
    <dataValidation allowBlank="1" showInputMessage="1" showErrorMessage="1" prompt="El calendario para este mes está en esta celda. Se actualiza automáticamente en las celdas B21 a H27" sqref="B20:H20" xr:uid="{F6AD76B7-653B-164F-8B51-8351CABCA949}"/>
    <dataValidation allowBlank="1" showInputMessage="1" showErrorMessage="1" prompt="El calendario para este mes está en esta celda. Se actualiza automáticamente en las celdas B12 a H18" sqref="B11:H11" xr:uid="{B66CE776-857E-484A-92BC-EB7E8BEC7D1C}"/>
    <dataValidation allowBlank="1" showInputMessage="1" showErrorMessage="1" prompt="El calendario para este mes está en esta celda. Se actualiza automáticamente en las celdas Z3 a AF9" sqref="Z2:AF2" xr:uid="{7CDE4933-213F-E247-B218-6C10CCAE2065}"/>
    <dataValidation allowBlank="1" showInputMessage="1" showErrorMessage="1" prompt="El calendario para este mes está en esta celda. Se actualiza automáticamente en las celdas R3 a X9" sqref="R2:X2" xr:uid="{8AD12561-BB7B-1549-9DBA-48A97EC985C2}"/>
    <dataValidation allowBlank="1" showInputMessage="1" showErrorMessage="1" prompt="El calendario para este mes está en esta celda. Se actualiza automáticamente en las celdas J3 a P9" sqref="J2:P2" xr:uid="{D0E6525B-9CF5-BC40-8FB5-8B9C01559233}"/>
    <dataValidation allowBlank="1" showInputMessage="1" showErrorMessage="1" prompt="El calendario para este mes está en esta celda. Se actualiza automáticamente en las celdas B3 a H9" sqref="B2:H2" xr:uid="{A04F9F10-A464-414A-96FD-4248FCEDBB9B}"/>
    <dataValidation allowBlank="1" showInputMessage="1" showErrorMessage="1" prompt="Crear un calendario para cualquier año con esta hoja de cálculo de Calendar Creator. Escriba el año en la celda a la derecha para actualizar automáticamente el calendario para cada mes" sqref="A1" xr:uid="{AD1DAFD3-9B58-CA4C-8C2D-F3E473E95B3B}"/>
    <dataValidation allowBlank="1" showInputMessage="1" showErrorMessage="1" prompt="Escriba el año en esta celda para actualizar automáticamente el calendario para cada mes en las celdas B2 a AF27" sqref="B1:AF1" xr:uid="{C8249775-8BA4-5549-949F-AE35C6675940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0D196-DE50-7D46-8DDD-01BAE90C23F0}">
  <dimension ref="A1:E58"/>
  <sheetViews>
    <sheetView zoomScaleNormal="100" workbookViewId="0">
      <selection activeCell="E7" sqref="E7"/>
    </sheetView>
  </sheetViews>
  <sheetFormatPr baseColWidth="10" defaultColWidth="27.6640625" defaultRowHeight="13" x14ac:dyDescent="0.15"/>
  <cols>
    <col min="1" max="1" width="19" style="96" customWidth="1"/>
    <col min="2" max="4" width="14.1640625" style="96" customWidth="1"/>
    <col min="5" max="5" width="30.1640625" style="96" customWidth="1"/>
    <col min="6" max="16384" width="27.6640625" style="96"/>
  </cols>
  <sheetData>
    <row r="1" spans="1:5" ht="25" x14ac:dyDescent="0.25">
      <c r="A1" s="178" t="s">
        <v>104</v>
      </c>
      <c r="B1" s="178"/>
      <c r="C1" s="178"/>
      <c r="D1" s="178"/>
      <c r="E1" s="178"/>
    </row>
    <row r="2" spans="1:5" x14ac:dyDescent="0.15">
      <c r="A2" s="97"/>
      <c r="B2" s="97"/>
      <c r="C2" s="97"/>
      <c r="D2" s="97"/>
      <c r="E2" s="97"/>
    </row>
    <row r="3" spans="1:5" x14ac:dyDescent="0.15">
      <c r="A3" s="98" t="s">
        <v>108</v>
      </c>
      <c r="B3" s="97"/>
      <c r="C3" s="97"/>
      <c r="D3" s="97"/>
      <c r="E3" s="97"/>
    </row>
    <row r="4" spans="1:5" x14ac:dyDescent="0.15">
      <c r="A4" s="98" t="s">
        <v>109</v>
      </c>
      <c r="B4" s="97"/>
      <c r="C4" s="97"/>
      <c r="D4" s="97"/>
      <c r="E4" s="97"/>
    </row>
    <row r="5" spans="1:5" x14ac:dyDescent="0.15">
      <c r="A5" s="98" t="s">
        <v>110</v>
      </c>
      <c r="B5" s="97"/>
      <c r="C5" s="97"/>
      <c r="D5" s="97"/>
      <c r="E5" s="97"/>
    </row>
    <row r="6" spans="1:5" x14ac:dyDescent="0.15">
      <c r="A6" s="98" t="s">
        <v>111</v>
      </c>
      <c r="B6" s="97"/>
      <c r="C6" s="97"/>
      <c r="D6" s="97"/>
      <c r="E6" s="97"/>
    </row>
    <row r="7" spans="1:5" x14ac:dyDescent="0.15">
      <c r="A7" s="98" t="s">
        <v>112</v>
      </c>
      <c r="B7" s="97"/>
      <c r="C7" s="97"/>
      <c r="D7" s="97"/>
      <c r="E7" s="97"/>
    </row>
    <row r="8" spans="1:5" x14ac:dyDescent="0.15">
      <c r="A8" s="98" t="s">
        <v>121</v>
      </c>
      <c r="B8" s="97"/>
      <c r="C8" s="97"/>
      <c r="D8" s="97"/>
      <c r="E8" s="97"/>
    </row>
    <row r="9" spans="1:5" ht="14" thickBot="1" x14ac:dyDescent="0.2"/>
    <row r="10" spans="1:5" ht="15" thickBot="1" x14ac:dyDescent="0.2">
      <c r="A10" s="99" t="s">
        <v>57</v>
      </c>
      <c r="B10" s="100" t="s">
        <v>6</v>
      </c>
      <c r="C10" s="101" t="s">
        <v>65</v>
      </c>
      <c r="D10" s="102" t="s">
        <v>66</v>
      </c>
      <c r="E10" s="103" t="s">
        <v>72</v>
      </c>
    </row>
    <row r="11" spans="1:5" ht="15" thickBot="1" x14ac:dyDescent="0.2">
      <c r="A11" s="179"/>
      <c r="B11" s="189"/>
      <c r="C11" s="189" t="s">
        <v>2</v>
      </c>
      <c r="D11" s="104" t="s">
        <v>37</v>
      </c>
      <c r="E11" s="104"/>
    </row>
    <row r="12" spans="1:5" x14ac:dyDescent="0.15">
      <c r="A12" s="180"/>
      <c r="B12" s="190"/>
      <c r="C12" s="190"/>
      <c r="D12" s="182"/>
      <c r="E12" s="105"/>
    </row>
    <row r="13" spans="1:5" x14ac:dyDescent="0.15">
      <c r="A13" s="180"/>
      <c r="B13" s="190"/>
      <c r="C13" s="190"/>
      <c r="D13" s="182"/>
      <c r="E13" s="106"/>
    </row>
    <row r="14" spans="1:5" x14ac:dyDescent="0.15">
      <c r="A14" s="180"/>
      <c r="B14" s="190"/>
      <c r="C14" s="190"/>
      <c r="D14" s="182"/>
      <c r="E14" s="106"/>
    </row>
    <row r="15" spans="1:5" x14ac:dyDescent="0.15">
      <c r="A15" s="180"/>
      <c r="B15" s="190"/>
      <c r="C15" s="190"/>
      <c r="D15" s="182"/>
      <c r="E15" s="107"/>
    </row>
    <row r="16" spans="1:5" ht="14" thickBot="1" x14ac:dyDescent="0.2">
      <c r="A16" s="180"/>
      <c r="B16" s="190"/>
      <c r="C16" s="190"/>
      <c r="D16" s="183"/>
      <c r="E16" s="108"/>
    </row>
    <row r="17" spans="1:5" ht="15" thickBot="1" x14ac:dyDescent="0.2">
      <c r="A17" s="180"/>
      <c r="B17" s="190"/>
      <c r="C17" s="190"/>
      <c r="D17" s="104" t="s">
        <v>38</v>
      </c>
      <c r="E17" s="104"/>
    </row>
    <row r="18" spans="1:5" x14ac:dyDescent="0.15">
      <c r="A18" s="180"/>
      <c r="B18" s="190"/>
      <c r="C18" s="190"/>
      <c r="D18" s="188"/>
      <c r="E18" s="105"/>
    </row>
    <row r="19" spans="1:5" x14ac:dyDescent="0.15">
      <c r="A19" s="180"/>
      <c r="B19" s="190"/>
      <c r="C19" s="190"/>
      <c r="D19" s="182"/>
      <c r="E19" s="106"/>
    </row>
    <row r="20" spans="1:5" x14ac:dyDescent="0.15">
      <c r="A20" s="180"/>
      <c r="B20" s="190"/>
      <c r="C20" s="190"/>
      <c r="D20" s="182"/>
      <c r="E20" s="106"/>
    </row>
    <row r="21" spans="1:5" x14ac:dyDescent="0.15">
      <c r="A21" s="180"/>
      <c r="B21" s="190"/>
      <c r="C21" s="190"/>
      <c r="D21" s="182"/>
      <c r="E21" s="107"/>
    </row>
    <row r="22" spans="1:5" ht="14" thickBot="1" x14ac:dyDescent="0.2">
      <c r="A22" s="180"/>
      <c r="B22" s="190"/>
      <c r="C22" s="191"/>
      <c r="D22" s="182"/>
      <c r="E22" s="108"/>
    </row>
    <row r="23" spans="1:5" ht="15" thickBot="1" x14ac:dyDescent="0.2">
      <c r="A23" s="180"/>
      <c r="B23" s="190"/>
      <c r="C23" s="189" t="s">
        <v>3</v>
      </c>
      <c r="D23" s="104" t="s">
        <v>39</v>
      </c>
      <c r="E23" s="104"/>
    </row>
    <row r="24" spans="1:5" x14ac:dyDescent="0.15">
      <c r="A24" s="180"/>
      <c r="B24" s="190"/>
      <c r="C24" s="190"/>
      <c r="D24" s="184"/>
      <c r="E24" s="105"/>
    </row>
    <row r="25" spans="1:5" x14ac:dyDescent="0.15">
      <c r="A25" s="180"/>
      <c r="B25" s="190"/>
      <c r="C25" s="190"/>
      <c r="D25" s="185"/>
      <c r="E25" s="106"/>
    </row>
    <row r="26" spans="1:5" x14ac:dyDescent="0.15">
      <c r="A26" s="180"/>
      <c r="B26" s="190"/>
      <c r="C26" s="190"/>
      <c r="D26" s="185"/>
      <c r="E26" s="106"/>
    </row>
    <row r="27" spans="1:5" x14ac:dyDescent="0.15">
      <c r="A27" s="180"/>
      <c r="B27" s="190"/>
      <c r="C27" s="190"/>
      <c r="D27" s="186"/>
      <c r="E27" s="107"/>
    </row>
    <row r="28" spans="1:5" ht="14" thickBot="1" x14ac:dyDescent="0.2">
      <c r="A28" s="180"/>
      <c r="B28" s="190"/>
      <c r="C28" s="190"/>
      <c r="D28" s="187"/>
      <c r="E28" s="109"/>
    </row>
    <row r="29" spans="1:5" ht="15" thickBot="1" x14ac:dyDescent="0.2">
      <c r="A29" s="180"/>
      <c r="B29" s="190"/>
      <c r="C29" s="190"/>
      <c r="D29" s="104" t="s">
        <v>67</v>
      </c>
      <c r="E29" s="104"/>
    </row>
    <row r="30" spans="1:5" x14ac:dyDescent="0.15">
      <c r="A30" s="180"/>
      <c r="B30" s="190"/>
      <c r="C30" s="190"/>
      <c r="D30" s="184"/>
      <c r="E30" s="110"/>
    </row>
    <row r="31" spans="1:5" x14ac:dyDescent="0.15">
      <c r="A31" s="180"/>
      <c r="B31" s="190"/>
      <c r="C31" s="190"/>
      <c r="D31" s="185"/>
      <c r="E31" s="111"/>
    </row>
    <row r="32" spans="1:5" x14ac:dyDescent="0.15">
      <c r="A32" s="180"/>
      <c r="B32" s="190"/>
      <c r="C32" s="190"/>
      <c r="D32" s="185"/>
      <c r="E32" s="111"/>
    </row>
    <row r="33" spans="1:5" ht="14" thickBot="1" x14ac:dyDescent="0.2">
      <c r="A33" s="180"/>
      <c r="B33" s="190"/>
      <c r="C33" s="190"/>
      <c r="D33" s="186"/>
      <c r="E33" s="112"/>
    </row>
    <row r="34" spans="1:5" ht="15" thickBot="1" x14ac:dyDescent="0.2">
      <c r="A34" s="100" t="s">
        <v>64</v>
      </c>
      <c r="B34" s="190"/>
      <c r="C34" s="190"/>
      <c r="D34" s="187"/>
      <c r="E34" s="109"/>
    </row>
    <row r="35" spans="1:5" ht="15" thickBot="1" x14ac:dyDescent="0.2">
      <c r="A35" s="179"/>
      <c r="B35" s="190"/>
      <c r="C35" s="189" t="s">
        <v>4</v>
      </c>
      <c r="D35" s="104" t="s">
        <v>68</v>
      </c>
      <c r="E35" s="104"/>
    </row>
    <row r="36" spans="1:5" x14ac:dyDescent="0.15">
      <c r="A36" s="180"/>
      <c r="B36" s="190"/>
      <c r="C36" s="190"/>
      <c r="D36" s="184"/>
      <c r="E36" s="113"/>
    </row>
    <row r="37" spans="1:5" x14ac:dyDescent="0.15">
      <c r="A37" s="180"/>
      <c r="B37" s="190"/>
      <c r="C37" s="190"/>
      <c r="D37" s="185"/>
      <c r="E37" s="114"/>
    </row>
    <row r="38" spans="1:5" x14ac:dyDescent="0.15">
      <c r="A38" s="180"/>
      <c r="B38" s="190"/>
      <c r="C38" s="190"/>
      <c r="D38" s="185"/>
      <c r="E38" s="114"/>
    </row>
    <row r="39" spans="1:5" x14ac:dyDescent="0.15">
      <c r="A39" s="180"/>
      <c r="B39" s="190"/>
      <c r="C39" s="190"/>
      <c r="D39" s="186"/>
      <c r="E39" s="115"/>
    </row>
    <row r="40" spans="1:5" ht="14" thickBot="1" x14ac:dyDescent="0.2">
      <c r="A40" s="180"/>
      <c r="B40" s="190"/>
      <c r="C40" s="190"/>
      <c r="D40" s="187"/>
      <c r="E40" s="116"/>
    </row>
    <row r="41" spans="1:5" ht="15" thickBot="1" x14ac:dyDescent="0.2">
      <c r="A41" s="180"/>
      <c r="B41" s="190"/>
      <c r="C41" s="190"/>
      <c r="D41" s="104" t="s">
        <v>69</v>
      </c>
      <c r="E41" s="104"/>
    </row>
    <row r="42" spans="1:5" x14ac:dyDescent="0.15">
      <c r="A42" s="180"/>
      <c r="B42" s="190"/>
      <c r="C42" s="190"/>
      <c r="D42" s="184"/>
      <c r="E42" s="113"/>
    </row>
    <row r="43" spans="1:5" x14ac:dyDescent="0.15">
      <c r="A43" s="180"/>
      <c r="B43" s="190"/>
      <c r="C43" s="190"/>
      <c r="D43" s="185"/>
      <c r="E43" s="114"/>
    </row>
    <row r="44" spans="1:5" x14ac:dyDescent="0.15">
      <c r="A44" s="180"/>
      <c r="B44" s="190"/>
      <c r="C44" s="190"/>
      <c r="D44" s="185"/>
      <c r="E44" s="114"/>
    </row>
    <row r="45" spans="1:5" x14ac:dyDescent="0.15">
      <c r="A45" s="180"/>
      <c r="B45" s="190"/>
      <c r="C45" s="190"/>
      <c r="D45" s="186"/>
      <c r="E45" s="115"/>
    </row>
    <row r="46" spans="1:5" ht="14" thickBot="1" x14ac:dyDescent="0.2">
      <c r="A46" s="180"/>
      <c r="B46" s="190"/>
      <c r="C46" s="191"/>
      <c r="D46" s="187"/>
      <c r="E46" s="117"/>
    </row>
    <row r="47" spans="1:5" ht="15" thickBot="1" x14ac:dyDescent="0.2">
      <c r="A47" s="180"/>
      <c r="B47" s="190"/>
      <c r="C47" s="189" t="s">
        <v>5</v>
      </c>
      <c r="D47" s="104" t="s">
        <v>70</v>
      </c>
      <c r="E47" s="104"/>
    </row>
    <row r="48" spans="1:5" x14ac:dyDescent="0.15">
      <c r="A48" s="180"/>
      <c r="B48" s="190"/>
      <c r="C48" s="190"/>
      <c r="D48" s="188"/>
      <c r="E48" s="113"/>
    </row>
    <row r="49" spans="1:5" x14ac:dyDescent="0.15">
      <c r="A49" s="180"/>
      <c r="B49" s="190"/>
      <c r="C49" s="190"/>
      <c r="D49" s="182"/>
      <c r="E49" s="114"/>
    </row>
    <row r="50" spans="1:5" x14ac:dyDescent="0.15">
      <c r="A50" s="180"/>
      <c r="B50" s="190"/>
      <c r="C50" s="190"/>
      <c r="D50" s="182"/>
      <c r="E50" s="114"/>
    </row>
    <row r="51" spans="1:5" x14ac:dyDescent="0.15">
      <c r="A51" s="180"/>
      <c r="B51" s="190"/>
      <c r="C51" s="190"/>
      <c r="D51" s="182"/>
      <c r="E51" s="115"/>
    </row>
    <row r="52" spans="1:5" ht="14" thickBot="1" x14ac:dyDescent="0.2">
      <c r="A52" s="180"/>
      <c r="B52" s="190"/>
      <c r="C52" s="190"/>
      <c r="D52" s="183"/>
      <c r="E52" s="117"/>
    </row>
    <row r="53" spans="1:5" ht="15" thickBot="1" x14ac:dyDescent="0.2">
      <c r="A53" s="180"/>
      <c r="B53" s="190"/>
      <c r="C53" s="190"/>
      <c r="D53" s="104" t="s">
        <v>71</v>
      </c>
      <c r="E53" s="104"/>
    </row>
    <row r="54" spans="1:5" x14ac:dyDescent="0.15">
      <c r="A54" s="180"/>
      <c r="B54" s="190"/>
      <c r="C54" s="190"/>
      <c r="D54" s="188"/>
      <c r="E54" s="113"/>
    </row>
    <row r="55" spans="1:5" x14ac:dyDescent="0.15">
      <c r="A55" s="180"/>
      <c r="B55" s="190"/>
      <c r="C55" s="190"/>
      <c r="D55" s="182"/>
      <c r="E55" s="114"/>
    </row>
    <row r="56" spans="1:5" x14ac:dyDescent="0.15">
      <c r="A56" s="180"/>
      <c r="B56" s="190"/>
      <c r="C56" s="190"/>
      <c r="D56" s="182"/>
      <c r="E56" s="114"/>
    </row>
    <row r="57" spans="1:5" x14ac:dyDescent="0.15">
      <c r="A57" s="180"/>
      <c r="B57" s="190"/>
      <c r="C57" s="190"/>
      <c r="D57" s="182"/>
      <c r="E57" s="115"/>
    </row>
    <row r="58" spans="1:5" ht="14" thickBot="1" x14ac:dyDescent="0.2">
      <c r="A58" s="181"/>
      <c r="B58" s="191"/>
      <c r="C58" s="191"/>
      <c r="D58" s="183"/>
      <c r="E58" s="117"/>
    </row>
  </sheetData>
  <mergeCells count="16">
    <mergeCell ref="A1:E1"/>
    <mergeCell ref="A11:A33"/>
    <mergeCell ref="A35:A58"/>
    <mergeCell ref="D12:D16"/>
    <mergeCell ref="D24:D28"/>
    <mergeCell ref="D42:D46"/>
    <mergeCell ref="D48:D52"/>
    <mergeCell ref="D30:D34"/>
    <mergeCell ref="D36:D40"/>
    <mergeCell ref="D18:D22"/>
    <mergeCell ref="C11:C22"/>
    <mergeCell ref="C23:C34"/>
    <mergeCell ref="C35:C46"/>
    <mergeCell ref="D54:D58"/>
    <mergeCell ref="C47:C58"/>
    <mergeCell ref="B11:B58"/>
  </mergeCells>
  <pageMargins left="0.19685039370078741" right="0.19685039370078741" top="0.39370078740157483" bottom="0.39370078740157483" header="0.31496062992125984" footer="0.31496062992125984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6C322-4792-214B-9F6B-A8B5E9E2AE66}">
  <dimension ref="A1:BA49"/>
  <sheetViews>
    <sheetView zoomScale="150" zoomScaleNormal="150" workbookViewId="0">
      <selection activeCell="F3" sqref="F3"/>
    </sheetView>
  </sheetViews>
  <sheetFormatPr baseColWidth="10" defaultColWidth="10.6640625" defaultRowHeight="12.75" customHeight="1" x14ac:dyDescent="0.15"/>
  <cols>
    <col min="1" max="1" width="18" style="120" customWidth="1"/>
    <col min="2" max="53" width="2.1640625" style="120" customWidth="1"/>
    <col min="54" max="16384" width="10.6640625" style="120"/>
  </cols>
  <sheetData>
    <row r="1" spans="1:53" ht="23" customHeight="1" x14ac:dyDescent="0.25">
      <c r="A1" s="192" t="s">
        <v>105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</row>
    <row r="2" spans="1:53" s="121" customFormat="1" ht="12.75" customHeight="1" x14ac:dyDescent="0.15">
      <c r="A2" s="193" t="s">
        <v>124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</row>
    <row r="3" spans="1:53" s="121" customFormat="1" ht="12.75" customHeight="1" x14ac:dyDescent="0.15">
      <c r="A3" s="119"/>
      <c r="B3" s="119"/>
      <c r="C3" s="119"/>
      <c r="D3" s="119"/>
      <c r="E3" s="119"/>
      <c r="F3" s="166"/>
      <c r="G3" s="168" t="s">
        <v>122</v>
      </c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67"/>
      <c r="X3" s="168" t="s">
        <v>123</v>
      </c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</row>
    <row r="4" spans="1:53" s="121" customFormat="1" ht="12.75" customHeight="1" thickBot="1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</row>
    <row r="5" spans="1:53" ht="14" customHeight="1" thickBot="1" x14ac:dyDescent="0.2">
      <c r="A5" s="118" t="s">
        <v>65</v>
      </c>
      <c r="B5" s="197" t="s">
        <v>96</v>
      </c>
      <c r="C5" s="195"/>
      <c r="D5" s="195"/>
      <c r="E5" s="196"/>
      <c r="F5" s="197" t="s">
        <v>97</v>
      </c>
      <c r="G5" s="195"/>
      <c r="H5" s="195"/>
      <c r="I5" s="198"/>
      <c r="J5" s="194" t="s">
        <v>98</v>
      </c>
      <c r="K5" s="195"/>
      <c r="L5" s="195"/>
      <c r="M5" s="195"/>
      <c r="N5" s="196"/>
      <c r="O5" s="197" t="s">
        <v>99</v>
      </c>
      <c r="P5" s="195"/>
      <c r="Q5" s="195"/>
      <c r="R5" s="198"/>
      <c r="S5" s="194" t="s">
        <v>100</v>
      </c>
      <c r="T5" s="195"/>
      <c r="U5" s="195"/>
      <c r="V5" s="196"/>
      <c r="W5" s="197" t="s">
        <v>101</v>
      </c>
      <c r="X5" s="195"/>
      <c r="Y5" s="195"/>
      <c r="Z5" s="195"/>
      <c r="AA5" s="198"/>
      <c r="AB5" s="194" t="s">
        <v>102</v>
      </c>
      <c r="AC5" s="195"/>
      <c r="AD5" s="195"/>
      <c r="AE5" s="196"/>
      <c r="AF5" s="197" t="s">
        <v>103</v>
      </c>
      <c r="AG5" s="195"/>
      <c r="AH5" s="195"/>
      <c r="AI5" s="195"/>
      <c r="AJ5" s="198"/>
      <c r="AK5" s="194" t="s">
        <v>51</v>
      </c>
      <c r="AL5" s="195"/>
      <c r="AM5" s="195"/>
      <c r="AN5" s="196"/>
      <c r="AO5" s="197" t="s">
        <v>54</v>
      </c>
      <c r="AP5" s="195"/>
      <c r="AQ5" s="195"/>
      <c r="AR5" s="198"/>
      <c r="AS5" s="194" t="s">
        <v>55</v>
      </c>
      <c r="AT5" s="195"/>
      <c r="AU5" s="195"/>
      <c r="AV5" s="195"/>
      <c r="AW5" s="196"/>
      <c r="AX5" s="197" t="s">
        <v>56</v>
      </c>
      <c r="AY5" s="195"/>
      <c r="AZ5" s="195"/>
      <c r="BA5" s="198"/>
    </row>
    <row r="6" spans="1:53" ht="11.75" customHeight="1" thickBot="1" x14ac:dyDescent="0.2">
      <c r="A6" s="36" t="s">
        <v>2</v>
      </c>
      <c r="B6" s="38"/>
      <c r="C6" s="39"/>
      <c r="D6" s="39"/>
      <c r="E6" s="40"/>
      <c r="F6" s="38"/>
      <c r="G6" s="39"/>
      <c r="H6" s="39"/>
      <c r="I6" s="41"/>
      <c r="J6" s="42"/>
      <c r="K6" s="39"/>
      <c r="L6" s="39"/>
      <c r="M6" s="39"/>
      <c r="N6" s="40"/>
      <c r="O6" s="38"/>
      <c r="P6" s="39"/>
      <c r="Q6" s="39"/>
      <c r="R6" s="41"/>
      <c r="S6" s="42"/>
      <c r="T6" s="39"/>
      <c r="U6" s="39"/>
      <c r="V6" s="40"/>
      <c r="W6" s="38"/>
      <c r="X6" s="39"/>
      <c r="Y6" s="39"/>
      <c r="Z6" s="39"/>
      <c r="AA6" s="41"/>
      <c r="AB6" s="42"/>
      <c r="AC6" s="39"/>
      <c r="AD6" s="39"/>
      <c r="AE6" s="40"/>
      <c r="AF6" s="38"/>
      <c r="AG6" s="39"/>
      <c r="AH6" s="39"/>
      <c r="AI6" s="39"/>
      <c r="AJ6" s="41"/>
      <c r="AK6" s="42"/>
      <c r="AL6" s="39"/>
      <c r="AM6" s="39"/>
      <c r="AN6" s="40"/>
      <c r="AO6" s="38"/>
      <c r="AP6" s="39"/>
      <c r="AQ6" s="39"/>
      <c r="AR6" s="41"/>
      <c r="AS6" s="42"/>
      <c r="AT6" s="39"/>
      <c r="AU6" s="39"/>
      <c r="AV6" s="39"/>
      <c r="AW6" s="40"/>
      <c r="AX6" s="38"/>
      <c r="AY6" s="39"/>
      <c r="AZ6" s="39"/>
      <c r="BA6" s="41"/>
    </row>
    <row r="7" spans="1:53" ht="11.75" customHeight="1" thickBot="1" x14ac:dyDescent="0.2">
      <c r="A7" s="37" t="s">
        <v>37</v>
      </c>
      <c r="B7" s="123"/>
      <c r="C7" s="124"/>
      <c r="D7" s="124"/>
      <c r="E7" s="125"/>
      <c r="F7" s="123"/>
      <c r="G7" s="124"/>
      <c r="H7" s="124"/>
      <c r="I7" s="126"/>
      <c r="J7" s="127"/>
      <c r="K7" s="124"/>
      <c r="L7" s="124"/>
      <c r="M7" s="124"/>
      <c r="N7" s="125"/>
      <c r="O7" s="123"/>
      <c r="P7" s="124"/>
      <c r="Q7" s="124"/>
      <c r="R7" s="126"/>
      <c r="S7" s="127"/>
      <c r="T7" s="124"/>
      <c r="U7" s="124"/>
      <c r="V7" s="125"/>
      <c r="W7" s="123"/>
      <c r="X7" s="124"/>
      <c r="Y7" s="124"/>
      <c r="Z7" s="124"/>
      <c r="AA7" s="126"/>
      <c r="AB7" s="127"/>
      <c r="AC7" s="124"/>
      <c r="AD7" s="124"/>
      <c r="AE7" s="125"/>
      <c r="AF7" s="123"/>
      <c r="AG7" s="124"/>
      <c r="AH7" s="124"/>
      <c r="AI7" s="124"/>
      <c r="AJ7" s="126"/>
      <c r="AK7" s="127"/>
      <c r="AL7" s="124"/>
      <c r="AM7" s="124"/>
      <c r="AN7" s="125"/>
      <c r="AO7" s="123"/>
      <c r="AP7" s="124"/>
      <c r="AQ7" s="124"/>
      <c r="AR7" s="126"/>
      <c r="AS7" s="127"/>
      <c r="AT7" s="124"/>
      <c r="AU7" s="124"/>
      <c r="AV7" s="124"/>
      <c r="AW7" s="125"/>
      <c r="AX7" s="123"/>
      <c r="AY7" s="124"/>
      <c r="AZ7" s="124"/>
      <c r="BA7" s="126"/>
    </row>
    <row r="8" spans="1:53" ht="11.75" customHeight="1" x14ac:dyDescent="0.15">
      <c r="A8" s="128"/>
      <c r="B8" s="129"/>
      <c r="C8" s="130"/>
      <c r="D8" s="130"/>
      <c r="E8" s="131"/>
      <c r="F8" s="129"/>
      <c r="G8" s="130"/>
      <c r="H8" s="130"/>
      <c r="I8" s="132"/>
      <c r="J8" s="133"/>
      <c r="K8" s="130"/>
      <c r="L8" s="130"/>
      <c r="M8" s="130"/>
      <c r="N8" s="131"/>
      <c r="O8" s="129"/>
      <c r="P8" s="130"/>
      <c r="Q8" s="130"/>
      <c r="R8" s="132"/>
      <c r="S8" s="133"/>
      <c r="T8" s="130"/>
      <c r="U8" s="130"/>
      <c r="V8" s="131"/>
      <c r="W8" s="129"/>
      <c r="X8" s="130"/>
      <c r="Y8" s="130"/>
      <c r="Z8" s="130"/>
      <c r="AA8" s="132"/>
      <c r="AB8" s="133"/>
      <c r="AC8" s="130"/>
      <c r="AD8" s="130"/>
      <c r="AE8" s="131"/>
      <c r="AF8" s="129"/>
      <c r="AG8" s="130"/>
      <c r="AH8" s="130"/>
      <c r="AI8" s="130"/>
      <c r="AJ8" s="132"/>
      <c r="AK8" s="133"/>
      <c r="AL8" s="130"/>
      <c r="AM8" s="130"/>
      <c r="AN8" s="131"/>
      <c r="AO8" s="129"/>
      <c r="AP8" s="130"/>
      <c r="AQ8" s="130"/>
      <c r="AR8" s="132"/>
      <c r="AS8" s="133"/>
      <c r="AT8" s="130"/>
      <c r="AU8" s="130"/>
      <c r="AV8" s="130"/>
      <c r="AW8" s="131"/>
      <c r="AX8" s="129"/>
      <c r="AY8" s="130"/>
      <c r="AZ8" s="130"/>
      <c r="BA8" s="132"/>
    </row>
    <row r="9" spans="1:53" ht="11.75" customHeight="1" x14ac:dyDescent="0.15">
      <c r="A9" s="134"/>
      <c r="B9" s="135"/>
      <c r="C9" s="136"/>
      <c r="D9" s="136"/>
      <c r="E9" s="137"/>
      <c r="F9" s="135"/>
      <c r="G9" s="136"/>
      <c r="H9" s="136"/>
      <c r="I9" s="138"/>
      <c r="J9" s="139"/>
      <c r="K9" s="136"/>
      <c r="L9" s="136"/>
      <c r="M9" s="136"/>
      <c r="N9" s="137"/>
      <c r="O9" s="135"/>
      <c r="P9" s="136"/>
      <c r="Q9" s="136"/>
      <c r="R9" s="138"/>
      <c r="S9" s="139"/>
      <c r="T9" s="136"/>
      <c r="U9" s="136"/>
      <c r="V9" s="137"/>
      <c r="W9" s="135"/>
      <c r="X9" s="136"/>
      <c r="Y9" s="136"/>
      <c r="Z9" s="136"/>
      <c r="AA9" s="138"/>
      <c r="AB9" s="139"/>
      <c r="AC9" s="136"/>
      <c r="AD9" s="136"/>
      <c r="AE9" s="137"/>
      <c r="AF9" s="135"/>
      <c r="AG9" s="136"/>
      <c r="AH9" s="136"/>
      <c r="AI9" s="136"/>
      <c r="AJ9" s="138"/>
      <c r="AK9" s="139"/>
      <c r="AL9" s="136"/>
      <c r="AM9" s="136"/>
      <c r="AN9" s="137"/>
      <c r="AO9" s="135"/>
      <c r="AP9" s="136"/>
      <c r="AQ9" s="136"/>
      <c r="AR9" s="138"/>
      <c r="AS9" s="139"/>
      <c r="AT9" s="136"/>
      <c r="AU9" s="136"/>
      <c r="AV9" s="136"/>
      <c r="AW9" s="137"/>
      <c r="AX9" s="135"/>
      <c r="AY9" s="136"/>
      <c r="AZ9" s="136"/>
      <c r="BA9" s="138"/>
    </row>
    <row r="10" spans="1:53" ht="11.75" customHeight="1" x14ac:dyDescent="0.15">
      <c r="A10" s="134"/>
      <c r="B10" s="135"/>
      <c r="C10" s="136"/>
      <c r="D10" s="136"/>
      <c r="E10" s="137"/>
      <c r="F10" s="135"/>
      <c r="G10" s="136"/>
      <c r="H10" s="136"/>
      <c r="I10" s="138"/>
      <c r="J10" s="139"/>
      <c r="K10" s="136"/>
      <c r="L10" s="136"/>
      <c r="M10" s="136"/>
      <c r="N10" s="137"/>
      <c r="O10" s="135"/>
      <c r="P10" s="136"/>
      <c r="Q10" s="136"/>
      <c r="R10" s="138"/>
      <c r="S10" s="139"/>
      <c r="T10" s="136"/>
      <c r="U10" s="136"/>
      <c r="V10" s="137"/>
      <c r="W10" s="135"/>
      <c r="X10" s="136"/>
      <c r="Y10" s="136"/>
      <c r="Z10" s="136"/>
      <c r="AA10" s="138"/>
      <c r="AB10" s="139"/>
      <c r="AC10" s="136"/>
      <c r="AD10" s="136"/>
      <c r="AE10" s="137"/>
      <c r="AF10" s="135"/>
      <c r="AG10" s="136"/>
      <c r="AH10" s="136"/>
      <c r="AI10" s="136"/>
      <c r="AJ10" s="138"/>
      <c r="AK10" s="139"/>
      <c r="AL10" s="136"/>
      <c r="AM10" s="136"/>
      <c r="AN10" s="137"/>
      <c r="AO10" s="135"/>
      <c r="AP10" s="136"/>
      <c r="AQ10" s="136"/>
      <c r="AR10" s="138"/>
      <c r="AS10" s="139"/>
      <c r="AT10" s="136"/>
      <c r="AU10" s="136"/>
      <c r="AV10" s="136"/>
      <c r="AW10" s="137"/>
      <c r="AX10" s="135"/>
      <c r="AY10" s="136"/>
      <c r="AZ10" s="136"/>
      <c r="BA10" s="138"/>
    </row>
    <row r="11" spans="1:53" ht="11.75" customHeight="1" thickBot="1" x14ac:dyDescent="0.2">
      <c r="A11" s="134"/>
      <c r="B11" s="135"/>
      <c r="C11" s="136"/>
      <c r="D11" s="136"/>
      <c r="E11" s="137"/>
      <c r="F11" s="135"/>
      <c r="G11" s="136"/>
      <c r="H11" s="136"/>
      <c r="I11" s="138"/>
      <c r="J11" s="139"/>
      <c r="K11" s="136"/>
      <c r="L11" s="136"/>
      <c r="M11" s="136"/>
      <c r="N11" s="137"/>
      <c r="O11" s="135"/>
      <c r="P11" s="136"/>
      <c r="Q11" s="136"/>
      <c r="R11" s="138"/>
      <c r="S11" s="139"/>
      <c r="T11" s="136"/>
      <c r="U11" s="136"/>
      <c r="V11" s="137"/>
      <c r="W11" s="135"/>
      <c r="X11" s="136"/>
      <c r="Y11" s="136"/>
      <c r="Z11" s="136"/>
      <c r="AA11" s="138"/>
      <c r="AB11" s="139"/>
      <c r="AC11" s="136"/>
      <c r="AD11" s="136"/>
      <c r="AE11" s="137"/>
      <c r="AF11" s="135"/>
      <c r="AG11" s="136"/>
      <c r="AH11" s="136"/>
      <c r="AI11" s="136"/>
      <c r="AJ11" s="138"/>
      <c r="AK11" s="139"/>
      <c r="AL11" s="136"/>
      <c r="AM11" s="136"/>
      <c r="AN11" s="137"/>
      <c r="AO11" s="135"/>
      <c r="AP11" s="136"/>
      <c r="AQ11" s="136"/>
      <c r="AR11" s="138"/>
      <c r="AS11" s="139"/>
      <c r="AT11" s="136"/>
      <c r="AU11" s="136"/>
      <c r="AV11" s="136"/>
      <c r="AW11" s="137"/>
      <c r="AX11" s="135"/>
      <c r="AY11" s="136"/>
      <c r="AZ11" s="136"/>
      <c r="BA11" s="138"/>
    </row>
    <row r="12" spans="1:53" ht="11.75" customHeight="1" thickBot="1" x14ac:dyDescent="0.2">
      <c r="A12" s="37" t="s">
        <v>38</v>
      </c>
      <c r="B12" s="123"/>
      <c r="C12" s="124"/>
      <c r="D12" s="124"/>
      <c r="E12" s="125"/>
      <c r="F12" s="123"/>
      <c r="G12" s="124"/>
      <c r="H12" s="124"/>
      <c r="I12" s="126"/>
      <c r="J12" s="127"/>
      <c r="K12" s="124"/>
      <c r="L12" s="124"/>
      <c r="M12" s="124"/>
      <c r="N12" s="125"/>
      <c r="O12" s="123"/>
      <c r="P12" s="124"/>
      <c r="Q12" s="124"/>
      <c r="R12" s="126"/>
      <c r="S12" s="127"/>
      <c r="T12" s="124"/>
      <c r="U12" s="124"/>
      <c r="V12" s="125"/>
      <c r="W12" s="123"/>
      <c r="X12" s="124"/>
      <c r="Y12" s="124"/>
      <c r="Z12" s="124"/>
      <c r="AA12" s="126"/>
      <c r="AB12" s="127"/>
      <c r="AC12" s="124"/>
      <c r="AD12" s="124"/>
      <c r="AE12" s="125"/>
      <c r="AF12" s="123"/>
      <c r="AG12" s="124"/>
      <c r="AH12" s="124"/>
      <c r="AI12" s="124"/>
      <c r="AJ12" s="126"/>
      <c r="AK12" s="127"/>
      <c r="AL12" s="124"/>
      <c r="AM12" s="124"/>
      <c r="AN12" s="125"/>
      <c r="AO12" s="123"/>
      <c r="AP12" s="124"/>
      <c r="AQ12" s="124"/>
      <c r="AR12" s="126"/>
      <c r="AS12" s="127"/>
      <c r="AT12" s="124"/>
      <c r="AU12" s="124"/>
      <c r="AV12" s="124"/>
      <c r="AW12" s="125"/>
      <c r="AX12" s="123"/>
      <c r="AY12" s="124"/>
      <c r="AZ12" s="124"/>
      <c r="BA12" s="126"/>
    </row>
    <row r="13" spans="1:53" ht="11.75" customHeight="1" x14ac:dyDescent="0.15">
      <c r="A13" s="134"/>
      <c r="B13" s="135"/>
      <c r="C13" s="136"/>
      <c r="D13" s="136"/>
      <c r="E13" s="137"/>
      <c r="F13" s="135"/>
      <c r="G13" s="136"/>
      <c r="H13" s="136"/>
      <c r="I13" s="138"/>
      <c r="J13" s="139"/>
      <c r="K13" s="136"/>
      <c r="L13" s="136"/>
      <c r="M13" s="136"/>
      <c r="N13" s="137"/>
      <c r="O13" s="135"/>
      <c r="P13" s="136"/>
      <c r="Q13" s="136"/>
      <c r="R13" s="138"/>
      <c r="S13" s="139"/>
      <c r="T13" s="136"/>
      <c r="U13" s="136"/>
      <c r="V13" s="137"/>
      <c r="W13" s="135"/>
      <c r="X13" s="136"/>
      <c r="Y13" s="136"/>
      <c r="Z13" s="136"/>
      <c r="AA13" s="138"/>
      <c r="AB13" s="139"/>
      <c r="AC13" s="136"/>
      <c r="AD13" s="136"/>
      <c r="AE13" s="137"/>
      <c r="AF13" s="135"/>
      <c r="AG13" s="136"/>
      <c r="AH13" s="136"/>
      <c r="AI13" s="136"/>
      <c r="AJ13" s="138"/>
      <c r="AK13" s="139"/>
      <c r="AL13" s="136"/>
      <c r="AM13" s="136"/>
      <c r="AN13" s="137"/>
      <c r="AO13" s="135"/>
      <c r="AP13" s="136"/>
      <c r="AQ13" s="136"/>
      <c r="AR13" s="138"/>
      <c r="AS13" s="139"/>
      <c r="AT13" s="136"/>
      <c r="AU13" s="136"/>
      <c r="AV13" s="136"/>
      <c r="AW13" s="137"/>
      <c r="AX13" s="135"/>
      <c r="AY13" s="136"/>
      <c r="AZ13" s="136"/>
      <c r="BA13" s="138"/>
    </row>
    <row r="14" spans="1:53" ht="11.75" customHeight="1" x14ac:dyDescent="0.15">
      <c r="A14" s="134"/>
      <c r="B14" s="135"/>
      <c r="C14" s="136"/>
      <c r="D14" s="136"/>
      <c r="E14" s="137"/>
      <c r="F14" s="135"/>
      <c r="G14" s="136"/>
      <c r="H14" s="136"/>
      <c r="I14" s="138"/>
      <c r="J14" s="139"/>
      <c r="K14" s="136"/>
      <c r="L14" s="136"/>
      <c r="M14" s="136"/>
      <c r="N14" s="137"/>
      <c r="O14" s="135"/>
      <c r="P14" s="136"/>
      <c r="Q14" s="136"/>
      <c r="R14" s="138"/>
      <c r="S14" s="139"/>
      <c r="T14" s="136"/>
      <c r="U14" s="136"/>
      <c r="V14" s="137"/>
      <c r="W14" s="135"/>
      <c r="X14" s="136"/>
      <c r="Y14" s="136"/>
      <c r="Z14" s="136"/>
      <c r="AA14" s="138"/>
      <c r="AB14" s="139"/>
      <c r="AC14" s="136"/>
      <c r="AD14" s="136"/>
      <c r="AE14" s="137"/>
      <c r="AF14" s="135"/>
      <c r="AG14" s="136"/>
      <c r="AH14" s="136"/>
      <c r="AI14" s="136"/>
      <c r="AJ14" s="138"/>
      <c r="AK14" s="139"/>
      <c r="AL14" s="136"/>
      <c r="AM14" s="136"/>
      <c r="AN14" s="137"/>
      <c r="AO14" s="135"/>
      <c r="AP14" s="136"/>
      <c r="AQ14" s="136"/>
      <c r="AR14" s="138"/>
      <c r="AS14" s="139"/>
      <c r="AT14" s="136"/>
      <c r="AU14" s="136"/>
      <c r="AV14" s="136"/>
      <c r="AW14" s="137"/>
      <c r="AX14" s="135"/>
      <c r="AY14" s="136"/>
      <c r="AZ14" s="136"/>
      <c r="BA14" s="138"/>
    </row>
    <row r="15" spans="1:53" ht="11.75" customHeight="1" x14ac:dyDescent="0.15">
      <c r="A15" s="134"/>
      <c r="B15" s="135"/>
      <c r="C15" s="136"/>
      <c r="D15" s="136"/>
      <c r="E15" s="137"/>
      <c r="F15" s="135"/>
      <c r="G15" s="136"/>
      <c r="H15" s="136"/>
      <c r="I15" s="138"/>
      <c r="J15" s="139"/>
      <c r="K15" s="136"/>
      <c r="L15" s="136"/>
      <c r="M15" s="136"/>
      <c r="N15" s="137"/>
      <c r="O15" s="135"/>
      <c r="P15" s="136"/>
      <c r="Q15" s="136"/>
      <c r="R15" s="138"/>
      <c r="S15" s="139"/>
      <c r="T15" s="136"/>
      <c r="U15" s="136"/>
      <c r="V15" s="137"/>
      <c r="W15" s="135"/>
      <c r="X15" s="136"/>
      <c r="Y15" s="136"/>
      <c r="Z15" s="136"/>
      <c r="AA15" s="138"/>
      <c r="AB15" s="139"/>
      <c r="AC15" s="136"/>
      <c r="AD15" s="136"/>
      <c r="AE15" s="137"/>
      <c r="AF15" s="135"/>
      <c r="AG15" s="136"/>
      <c r="AH15" s="136"/>
      <c r="AI15" s="136"/>
      <c r="AJ15" s="138"/>
      <c r="AK15" s="139"/>
      <c r="AL15" s="136"/>
      <c r="AM15" s="136"/>
      <c r="AN15" s="137"/>
      <c r="AO15" s="135"/>
      <c r="AP15" s="136"/>
      <c r="AQ15" s="136"/>
      <c r="AR15" s="138"/>
      <c r="AS15" s="139"/>
      <c r="AT15" s="136"/>
      <c r="AU15" s="136"/>
      <c r="AV15" s="136"/>
      <c r="AW15" s="137"/>
      <c r="AX15" s="135"/>
      <c r="AY15" s="136"/>
      <c r="AZ15" s="136"/>
      <c r="BA15" s="138"/>
    </row>
    <row r="16" spans="1:53" ht="11.75" customHeight="1" thickBot="1" x14ac:dyDescent="0.2">
      <c r="A16" s="134"/>
      <c r="B16" s="135"/>
      <c r="C16" s="136"/>
      <c r="D16" s="136"/>
      <c r="E16" s="137"/>
      <c r="F16" s="135"/>
      <c r="G16" s="136"/>
      <c r="H16" s="136"/>
      <c r="I16" s="138"/>
      <c r="J16" s="139"/>
      <c r="K16" s="136"/>
      <c r="L16" s="136"/>
      <c r="M16" s="136"/>
      <c r="N16" s="137"/>
      <c r="O16" s="135"/>
      <c r="P16" s="136"/>
      <c r="Q16" s="136"/>
      <c r="R16" s="138"/>
      <c r="S16" s="139"/>
      <c r="T16" s="136"/>
      <c r="U16" s="136"/>
      <c r="V16" s="137"/>
      <c r="W16" s="135"/>
      <c r="X16" s="136"/>
      <c r="Y16" s="136"/>
      <c r="Z16" s="136"/>
      <c r="AA16" s="138"/>
      <c r="AB16" s="139"/>
      <c r="AC16" s="136"/>
      <c r="AD16" s="136"/>
      <c r="AE16" s="137"/>
      <c r="AF16" s="135"/>
      <c r="AG16" s="136"/>
      <c r="AH16" s="136"/>
      <c r="AI16" s="136"/>
      <c r="AJ16" s="138"/>
      <c r="AK16" s="139"/>
      <c r="AL16" s="136"/>
      <c r="AM16" s="136"/>
      <c r="AN16" s="137"/>
      <c r="AO16" s="135"/>
      <c r="AP16" s="136"/>
      <c r="AQ16" s="136"/>
      <c r="AR16" s="138"/>
      <c r="AS16" s="139"/>
      <c r="AT16" s="136"/>
      <c r="AU16" s="136"/>
      <c r="AV16" s="136"/>
      <c r="AW16" s="137"/>
      <c r="AX16" s="135"/>
      <c r="AY16" s="136"/>
      <c r="AZ16" s="136"/>
      <c r="BA16" s="138"/>
    </row>
    <row r="17" spans="1:53" ht="11.75" customHeight="1" thickBot="1" x14ac:dyDescent="0.2">
      <c r="A17" s="36" t="s">
        <v>3</v>
      </c>
      <c r="B17" s="38"/>
      <c r="C17" s="39"/>
      <c r="D17" s="39"/>
      <c r="E17" s="40"/>
      <c r="F17" s="38"/>
      <c r="G17" s="39"/>
      <c r="H17" s="39"/>
      <c r="I17" s="41"/>
      <c r="J17" s="42"/>
      <c r="K17" s="39"/>
      <c r="L17" s="39"/>
      <c r="M17" s="39"/>
      <c r="N17" s="40"/>
      <c r="O17" s="38"/>
      <c r="P17" s="39"/>
      <c r="Q17" s="39"/>
      <c r="R17" s="41"/>
      <c r="S17" s="42"/>
      <c r="T17" s="39"/>
      <c r="U17" s="39"/>
      <c r="V17" s="40"/>
      <c r="W17" s="38"/>
      <c r="X17" s="39"/>
      <c r="Y17" s="39"/>
      <c r="Z17" s="39"/>
      <c r="AA17" s="41"/>
      <c r="AB17" s="42"/>
      <c r="AC17" s="39"/>
      <c r="AD17" s="39"/>
      <c r="AE17" s="40"/>
      <c r="AF17" s="38"/>
      <c r="AG17" s="39"/>
      <c r="AH17" s="39"/>
      <c r="AI17" s="39"/>
      <c r="AJ17" s="41"/>
      <c r="AK17" s="42"/>
      <c r="AL17" s="39"/>
      <c r="AM17" s="39"/>
      <c r="AN17" s="40"/>
      <c r="AO17" s="38"/>
      <c r="AP17" s="39"/>
      <c r="AQ17" s="39"/>
      <c r="AR17" s="41"/>
      <c r="AS17" s="42"/>
      <c r="AT17" s="39"/>
      <c r="AU17" s="39"/>
      <c r="AV17" s="39"/>
      <c r="AW17" s="40"/>
      <c r="AX17" s="38"/>
      <c r="AY17" s="39"/>
      <c r="AZ17" s="39"/>
      <c r="BA17" s="41"/>
    </row>
    <row r="18" spans="1:53" ht="11.75" customHeight="1" thickBot="1" x14ac:dyDescent="0.2">
      <c r="A18" s="37" t="s">
        <v>39</v>
      </c>
      <c r="B18" s="123"/>
      <c r="C18" s="124"/>
      <c r="D18" s="124"/>
      <c r="E18" s="125"/>
      <c r="F18" s="123"/>
      <c r="G18" s="124"/>
      <c r="H18" s="124"/>
      <c r="I18" s="126"/>
      <c r="J18" s="127"/>
      <c r="K18" s="124"/>
      <c r="L18" s="124"/>
      <c r="M18" s="124"/>
      <c r="N18" s="125"/>
      <c r="O18" s="123"/>
      <c r="P18" s="124"/>
      <c r="Q18" s="124"/>
      <c r="R18" s="126"/>
      <c r="S18" s="127"/>
      <c r="T18" s="124"/>
      <c r="U18" s="124"/>
      <c r="V18" s="125"/>
      <c r="W18" s="123"/>
      <c r="X18" s="124"/>
      <c r="Y18" s="124"/>
      <c r="Z18" s="124"/>
      <c r="AA18" s="126"/>
      <c r="AB18" s="127"/>
      <c r="AC18" s="124"/>
      <c r="AD18" s="124"/>
      <c r="AE18" s="125"/>
      <c r="AF18" s="123"/>
      <c r="AG18" s="124"/>
      <c r="AH18" s="124"/>
      <c r="AI18" s="124"/>
      <c r="AJ18" s="126"/>
      <c r="AK18" s="127"/>
      <c r="AL18" s="124"/>
      <c r="AM18" s="124"/>
      <c r="AN18" s="125"/>
      <c r="AO18" s="123"/>
      <c r="AP18" s="124"/>
      <c r="AQ18" s="124"/>
      <c r="AR18" s="126"/>
      <c r="AS18" s="127"/>
      <c r="AT18" s="124"/>
      <c r="AU18" s="124"/>
      <c r="AV18" s="124"/>
      <c r="AW18" s="125"/>
      <c r="AX18" s="123"/>
      <c r="AY18" s="124"/>
      <c r="AZ18" s="124"/>
      <c r="BA18" s="126"/>
    </row>
    <row r="19" spans="1:53" ht="11.75" customHeight="1" x14ac:dyDescent="0.15">
      <c r="A19" s="134"/>
      <c r="B19" s="135"/>
      <c r="C19" s="136"/>
      <c r="D19" s="136"/>
      <c r="E19" s="137"/>
      <c r="F19" s="135"/>
      <c r="G19" s="136"/>
      <c r="H19" s="136"/>
      <c r="I19" s="138"/>
      <c r="J19" s="139"/>
      <c r="K19" s="136"/>
      <c r="L19" s="136"/>
      <c r="M19" s="136"/>
      <c r="N19" s="137"/>
      <c r="O19" s="135"/>
      <c r="P19" s="136"/>
      <c r="Q19" s="136"/>
      <c r="R19" s="138"/>
      <c r="S19" s="139"/>
      <c r="T19" s="136"/>
      <c r="U19" s="136"/>
      <c r="V19" s="137"/>
      <c r="W19" s="135"/>
      <c r="X19" s="136"/>
      <c r="Y19" s="136"/>
      <c r="Z19" s="136"/>
      <c r="AA19" s="138"/>
      <c r="AB19" s="139"/>
      <c r="AC19" s="136"/>
      <c r="AD19" s="136"/>
      <c r="AE19" s="137"/>
      <c r="AF19" s="135"/>
      <c r="AG19" s="136"/>
      <c r="AH19" s="136"/>
      <c r="AI19" s="136"/>
      <c r="AJ19" s="138"/>
      <c r="AK19" s="139"/>
      <c r="AL19" s="136"/>
      <c r="AM19" s="136"/>
      <c r="AN19" s="137"/>
      <c r="AO19" s="135"/>
      <c r="AP19" s="136"/>
      <c r="AQ19" s="136"/>
      <c r="AR19" s="138"/>
      <c r="AS19" s="139"/>
      <c r="AT19" s="136"/>
      <c r="AU19" s="136"/>
      <c r="AV19" s="136"/>
      <c r="AW19" s="137"/>
      <c r="AX19" s="135"/>
      <c r="AY19" s="136"/>
      <c r="AZ19" s="136"/>
      <c r="BA19" s="138"/>
    </row>
    <row r="20" spans="1:53" ht="11.75" customHeight="1" x14ac:dyDescent="0.15">
      <c r="A20" s="134"/>
      <c r="B20" s="135"/>
      <c r="C20" s="136"/>
      <c r="D20" s="136"/>
      <c r="E20" s="137"/>
      <c r="F20" s="135"/>
      <c r="G20" s="136"/>
      <c r="H20" s="136"/>
      <c r="I20" s="138"/>
      <c r="J20" s="139"/>
      <c r="K20" s="136"/>
      <c r="L20" s="136"/>
      <c r="M20" s="136"/>
      <c r="N20" s="137"/>
      <c r="O20" s="135"/>
      <c r="P20" s="136"/>
      <c r="Q20" s="136"/>
      <c r="R20" s="138"/>
      <c r="S20" s="139"/>
      <c r="T20" s="136"/>
      <c r="U20" s="136"/>
      <c r="V20" s="137"/>
      <c r="W20" s="135"/>
      <c r="X20" s="136"/>
      <c r="Y20" s="136"/>
      <c r="Z20" s="136"/>
      <c r="AA20" s="138"/>
      <c r="AB20" s="139"/>
      <c r="AC20" s="136"/>
      <c r="AD20" s="136"/>
      <c r="AE20" s="137"/>
      <c r="AF20" s="135"/>
      <c r="AG20" s="136"/>
      <c r="AH20" s="136"/>
      <c r="AI20" s="136"/>
      <c r="AJ20" s="138"/>
      <c r="AK20" s="139"/>
      <c r="AL20" s="136"/>
      <c r="AM20" s="136"/>
      <c r="AN20" s="137"/>
      <c r="AO20" s="135"/>
      <c r="AP20" s="136"/>
      <c r="AQ20" s="136"/>
      <c r="AR20" s="138"/>
      <c r="AS20" s="139"/>
      <c r="AT20" s="136"/>
      <c r="AU20" s="136"/>
      <c r="AV20" s="136"/>
      <c r="AW20" s="137"/>
      <c r="AX20" s="135"/>
      <c r="AY20" s="136"/>
      <c r="AZ20" s="136"/>
      <c r="BA20" s="138"/>
    </row>
    <row r="21" spans="1:53" ht="11.75" customHeight="1" x14ac:dyDescent="0.15">
      <c r="A21" s="134"/>
      <c r="B21" s="135"/>
      <c r="C21" s="136"/>
      <c r="D21" s="136"/>
      <c r="E21" s="137"/>
      <c r="F21" s="135"/>
      <c r="G21" s="136"/>
      <c r="H21" s="136"/>
      <c r="I21" s="138"/>
      <c r="J21" s="139"/>
      <c r="K21" s="136"/>
      <c r="L21" s="136"/>
      <c r="M21" s="136"/>
      <c r="N21" s="137"/>
      <c r="O21" s="135"/>
      <c r="P21" s="136"/>
      <c r="Q21" s="136"/>
      <c r="R21" s="138"/>
      <c r="S21" s="139"/>
      <c r="T21" s="136"/>
      <c r="U21" s="136"/>
      <c r="V21" s="137"/>
      <c r="W21" s="135"/>
      <c r="X21" s="136"/>
      <c r="Y21" s="136"/>
      <c r="Z21" s="136"/>
      <c r="AA21" s="138"/>
      <c r="AB21" s="139"/>
      <c r="AC21" s="136"/>
      <c r="AD21" s="136"/>
      <c r="AE21" s="137"/>
      <c r="AF21" s="135"/>
      <c r="AG21" s="136"/>
      <c r="AH21" s="136"/>
      <c r="AI21" s="136"/>
      <c r="AJ21" s="138"/>
      <c r="AK21" s="139"/>
      <c r="AL21" s="136"/>
      <c r="AM21" s="136"/>
      <c r="AN21" s="137"/>
      <c r="AO21" s="135"/>
      <c r="AP21" s="136"/>
      <c r="AQ21" s="136"/>
      <c r="AR21" s="138"/>
      <c r="AS21" s="139"/>
      <c r="AT21" s="136"/>
      <c r="AU21" s="136"/>
      <c r="AV21" s="136"/>
      <c r="AW21" s="137"/>
      <c r="AX21" s="135"/>
      <c r="AY21" s="136"/>
      <c r="AZ21" s="136"/>
      <c r="BA21" s="138"/>
    </row>
    <row r="22" spans="1:53" ht="11.75" customHeight="1" thickBot="1" x14ac:dyDescent="0.2">
      <c r="A22" s="140"/>
      <c r="B22" s="141"/>
      <c r="C22" s="142"/>
      <c r="D22" s="142"/>
      <c r="E22" s="143"/>
      <c r="F22" s="141"/>
      <c r="G22" s="142"/>
      <c r="H22" s="142"/>
      <c r="I22" s="144"/>
      <c r="J22" s="145"/>
      <c r="K22" s="142"/>
      <c r="L22" s="142"/>
      <c r="M22" s="142"/>
      <c r="N22" s="143"/>
      <c r="O22" s="141"/>
      <c r="P22" s="142"/>
      <c r="Q22" s="142"/>
      <c r="R22" s="144"/>
      <c r="S22" s="145"/>
      <c r="T22" s="142"/>
      <c r="U22" s="142"/>
      <c r="V22" s="143"/>
      <c r="W22" s="141"/>
      <c r="X22" s="142"/>
      <c r="Y22" s="142"/>
      <c r="Z22" s="142"/>
      <c r="AA22" s="144"/>
      <c r="AB22" s="145"/>
      <c r="AC22" s="142"/>
      <c r="AD22" s="142"/>
      <c r="AE22" s="143"/>
      <c r="AF22" s="141"/>
      <c r="AG22" s="142"/>
      <c r="AH22" s="142"/>
      <c r="AI22" s="142"/>
      <c r="AJ22" s="144"/>
      <c r="AK22" s="145"/>
      <c r="AL22" s="142"/>
      <c r="AM22" s="142"/>
      <c r="AN22" s="143"/>
      <c r="AO22" s="141"/>
      <c r="AP22" s="142"/>
      <c r="AQ22" s="142"/>
      <c r="AR22" s="144"/>
      <c r="AS22" s="145"/>
      <c r="AT22" s="142"/>
      <c r="AU22" s="142"/>
      <c r="AV22" s="142"/>
      <c r="AW22" s="143"/>
      <c r="AX22" s="141"/>
      <c r="AY22" s="142"/>
      <c r="AZ22" s="142"/>
      <c r="BA22" s="144"/>
    </row>
    <row r="23" spans="1:53" ht="11.75" customHeight="1" thickBot="1" x14ac:dyDescent="0.2">
      <c r="A23" s="37" t="s">
        <v>67</v>
      </c>
      <c r="B23" s="123"/>
      <c r="C23" s="124"/>
      <c r="D23" s="124"/>
      <c r="E23" s="125"/>
      <c r="F23" s="123"/>
      <c r="G23" s="124"/>
      <c r="H23" s="124"/>
      <c r="I23" s="126"/>
      <c r="J23" s="127"/>
      <c r="K23" s="124"/>
      <c r="L23" s="124"/>
      <c r="M23" s="124"/>
      <c r="N23" s="125"/>
      <c r="O23" s="123"/>
      <c r="P23" s="124"/>
      <c r="Q23" s="124"/>
      <c r="R23" s="126"/>
      <c r="S23" s="127"/>
      <c r="T23" s="124"/>
      <c r="U23" s="124"/>
      <c r="V23" s="125"/>
      <c r="W23" s="123"/>
      <c r="X23" s="124"/>
      <c r="Y23" s="124"/>
      <c r="Z23" s="124"/>
      <c r="AA23" s="126"/>
      <c r="AB23" s="127"/>
      <c r="AC23" s="124"/>
      <c r="AD23" s="124"/>
      <c r="AE23" s="125"/>
      <c r="AF23" s="123"/>
      <c r="AG23" s="124"/>
      <c r="AH23" s="124"/>
      <c r="AI23" s="124"/>
      <c r="AJ23" s="126"/>
      <c r="AK23" s="127"/>
      <c r="AL23" s="124"/>
      <c r="AM23" s="124"/>
      <c r="AN23" s="125"/>
      <c r="AO23" s="123"/>
      <c r="AP23" s="124"/>
      <c r="AQ23" s="124"/>
      <c r="AR23" s="126"/>
      <c r="AS23" s="127"/>
      <c r="AT23" s="124"/>
      <c r="AU23" s="124"/>
      <c r="AV23" s="124"/>
      <c r="AW23" s="125"/>
      <c r="AX23" s="123"/>
      <c r="AY23" s="124"/>
      <c r="AZ23" s="124"/>
      <c r="BA23" s="126"/>
    </row>
    <row r="24" spans="1:53" ht="11.75" customHeight="1" x14ac:dyDescent="0.15">
      <c r="A24" s="146"/>
      <c r="B24" s="147"/>
      <c r="C24" s="148"/>
      <c r="D24" s="148"/>
      <c r="E24" s="149"/>
      <c r="F24" s="147"/>
      <c r="G24" s="148"/>
      <c r="H24" s="148"/>
      <c r="I24" s="150"/>
      <c r="J24" s="151"/>
      <c r="K24" s="148"/>
      <c r="L24" s="148"/>
      <c r="M24" s="148"/>
      <c r="N24" s="149"/>
      <c r="O24" s="147"/>
      <c r="P24" s="148"/>
      <c r="Q24" s="148"/>
      <c r="R24" s="150"/>
      <c r="S24" s="151"/>
      <c r="T24" s="148"/>
      <c r="U24" s="148"/>
      <c r="V24" s="149"/>
      <c r="W24" s="147"/>
      <c r="X24" s="148"/>
      <c r="Y24" s="148"/>
      <c r="Z24" s="148"/>
      <c r="AA24" s="150"/>
      <c r="AB24" s="151"/>
      <c r="AC24" s="148"/>
      <c r="AD24" s="148"/>
      <c r="AE24" s="149"/>
      <c r="AF24" s="147"/>
      <c r="AG24" s="148"/>
      <c r="AH24" s="148"/>
      <c r="AI24" s="148"/>
      <c r="AJ24" s="150"/>
      <c r="AK24" s="151"/>
      <c r="AL24" s="148"/>
      <c r="AM24" s="148"/>
      <c r="AN24" s="149"/>
      <c r="AO24" s="147"/>
      <c r="AP24" s="148"/>
      <c r="AQ24" s="148"/>
      <c r="AR24" s="150"/>
      <c r="AS24" s="151"/>
      <c r="AT24" s="148"/>
      <c r="AU24" s="148"/>
      <c r="AV24" s="148"/>
      <c r="AW24" s="149"/>
      <c r="AX24" s="147"/>
      <c r="AY24" s="148"/>
      <c r="AZ24" s="148"/>
      <c r="BA24" s="150"/>
    </row>
    <row r="25" spans="1:53" ht="11.75" customHeight="1" x14ac:dyDescent="0.15">
      <c r="A25" s="146"/>
      <c r="B25" s="147"/>
      <c r="C25" s="148"/>
      <c r="D25" s="148"/>
      <c r="E25" s="149"/>
      <c r="F25" s="147"/>
      <c r="G25" s="148"/>
      <c r="H25" s="148"/>
      <c r="I25" s="150"/>
      <c r="J25" s="151"/>
      <c r="K25" s="148"/>
      <c r="L25" s="148"/>
      <c r="M25" s="148"/>
      <c r="N25" s="149"/>
      <c r="O25" s="147"/>
      <c r="P25" s="148"/>
      <c r="Q25" s="148"/>
      <c r="R25" s="150"/>
      <c r="S25" s="151"/>
      <c r="T25" s="148"/>
      <c r="U25" s="148"/>
      <c r="V25" s="149"/>
      <c r="W25" s="147"/>
      <c r="X25" s="148"/>
      <c r="Y25" s="148"/>
      <c r="Z25" s="148"/>
      <c r="AA25" s="150"/>
      <c r="AB25" s="151"/>
      <c r="AC25" s="148"/>
      <c r="AD25" s="148"/>
      <c r="AE25" s="149"/>
      <c r="AF25" s="147"/>
      <c r="AG25" s="148"/>
      <c r="AH25" s="148"/>
      <c r="AI25" s="148"/>
      <c r="AJ25" s="150"/>
      <c r="AK25" s="151"/>
      <c r="AL25" s="148"/>
      <c r="AM25" s="148"/>
      <c r="AN25" s="149"/>
      <c r="AO25" s="147"/>
      <c r="AP25" s="148"/>
      <c r="AQ25" s="148"/>
      <c r="AR25" s="150"/>
      <c r="AS25" s="151"/>
      <c r="AT25" s="148"/>
      <c r="AU25" s="148"/>
      <c r="AV25" s="148"/>
      <c r="AW25" s="149"/>
      <c r="AX25" s="147"/>
      <c r="AY25" s="148"/>
      <c r="AZ25" s="148"/>
      <c r="BA25" s="150"/>
    </row>
    <row r="26" spans="1:53" ht="11.75" customHeight="1" x14ac:dyDescent="0.15">
      <c r="A26" s="134"/>
      <c r="B26" s="135"/>
      <c r="C26" s="136"/>
      <c r="D26" s="136"/>
      <c r="E26" s="137"/>
      <c r="F26" s="135"/>
      <c r="G26" s="136"/>
      <c r="H26" s="136"/>
      <c r="I26" s="138"/>
      <c r="J26" s="139"/>
      <c r="K26" s="136"/>
      <c r="L26" s="136"/>
      <c r="M26" s="136"/>
      <c r="N26" s="137"/>
      <c r="O26" s="135"/>
      <c r="P26" s="136"/>
      <c r="Q26" s="136"/>
      <c r="R26" s="138"/>
      <c r="S26" s="139"/>
      <c r="T26" s="136"/>
      <c r="U26" s="136"/>
      <c r="V26" s="137"/>
      <c r="W26" s="135"/>
      <c r="X26" s="136"/>
      <c r="Y26" s="136"/>
      <c r="Z26" s="136"/>
      <c r="AA26" s="138"/>
      <c r="AB26" s="139"/>
      <c r="AC26" s="136"/>
      <c r="AD26" s="136"/>
      <c r="AE26" s="137"/>
      <c r="AF26" s="135"/>
      <c r="AG26" s="136"/>
      <c r="AH26" s="136"/>
      <c r="AI26" s="136"/>
      <c r="AJ26" s="138"/>
      <c r="AK26" s="139"/>
      <c r="AL26" s="136"/>
      <c r="AM26" s="136"/>
      <c r="AN26" s="137"/>
      <c r="AO26" s="135"/>
      <c r="AP26" s="136"/>
      <c r="AQ26" s="136"/>
      <c r="AR26" s="138"/>
      <c r="AS26" s="139"/>
      <c r="AT26" s="136"/>
      <c r="AU26" s="136"/>
      <c r="AV26" s="136"/>
      <c r="AW26" s="137"/>
      <c r="AX26" s="135"/>
      <c r="AY26" s="136"/>
      <c r="AZ26" s="136"/>
      <c r="BA26" s="138"/>
    </row>
    <row r="27" spans="1:53" ht="11.75" customHeight="1" thickBot="1" x14ac:dyDescent="0.2">
      <c r="A27" s="152"/>
      <c r="B27" s="153"/>
      <c r="C27" s="154"/>
      <c r="D27" s="154"/>
      <c r="E27" s="155"/>
      <c r="F27" s="153"/>
      <c r="G27" s="154"/>
      <c r="H27" s="154"/>
      <c r="I27" s="156"/>
      <c r="J27" s="157"/>
      <c r="K27" s="154"/>
      <c r="L27" s="154"/>
      <c r="M27" s="154"/>
      <c r="N27" s="155"/>
      <c r="O27" s="153"/>
      <c r="P27" s="154"/>
      <c r="Q27" s="154"/>
      <c r="R27" s="156"/>
      <c r="S27" s="157"/>
      <c r="T27" s="154"/>
      <c r="U27" s="154"/>
      <c r="V27" s="155"/>
      <c r="W27" s="153"/>
      <c r="X27" s="154"/>
      <c r="Y27" s="154"/>
      <c r="Z27" s="154"/>
      <c r="AA27" s="156"/>
      <c r="AB27" s="157"/>
      <c r="AC27" s="154"/>
      <c r="AD27" s="154"/>
      <c r="AE27" s="155"/>
      <c r="AF27" s="153"/>
      <c r="AG27" s="154"/>
      <c r="AH27" s="154"/>
      <c r="AI27" s="154"/>
      <c r="AJ27" s="156"/>
      <c r="AK27" s="157"/>
      <c r="AL27" s="154"/>
      <c r="AM27" s="154"/>
      <c r="AN27" s="155"/>
      <c r="AO27" s="153"/>
      <c r="AP27" s="154"/>
      <c r="AQ27" s="154"/>
      <c r="AR27" s="156"/>
      <c r="AS27" s="157"/>
      <c r="AT27" s="154"/>
      <c r="AU27" s="154"/>
      <c r="AV27" s="154"/>
      <c r="AW27" s="155"/>
      <c r="AX27" s="153"/>
      <c r="AY27" s="154"/>
      <c r="AZ27" s="154"/>
      <c r="BA27" s="156"/>
    </row>
    <row r="28" spans="1:53" ht="11.75" customHeight="1" thickBot="1" x14ac:dyDescent="0.2">
      <c r="A28" s="36" t="s">
        <v>4</v>
      </c>
      <c r="B28" s="38"/>
      <c r="C28" s="39"/>
      <c r="D28" s="39"/>
      <c r="E28" s="40"/>
      <c r="F28" s="38"/>
      <c r="G28" s="39"/>
      <c r="H28" s="39"/>
      <c r="I28" s="41"/>
      <c r="J28" s="42"/>
      <c r="K28" s="39"/>
      <c r="L28" s="39"/>
      <c r="M28" s="39"/>
      <c r="N28" s="40"/>
      <c r="O28" s="38"/>
      <c r="P28" s="39"/>
      <c r="Q28" s="39"/>
      <c r="R28" s="41"/>
      <c r="S28" s="42"/>
      <c r="T28" s="39"/>
      <c r="U28" s="39"/>
      <c r="V28" s="40"/>
      <c r="W28" s="38"/>
      <c r="X28" s="39"/>
      <c r="Y28" s="39"/>
      <c r="Z28" s="39"/>
      <c r="AA28" s="41"/>
      <c r="AB28" s="42"/>
      <c r="AC28" s="39"/>
      <c r="AD28" s="39"/>
      <c r="AE28" s="40"/>
      <c r="AF28" s="38"/>
      <c r="AG28" s="39"/>
      <c r="AH28" s="39"/>
      <c r="AI28" s="39"/>
      <c r="AJ28" s="41"/>
      <c r="AK28" s="42"/>
      <c r="AL28" s="39"/>
      <c r="AM28" s="39"/>
      <c r="AN28" s="40"/>
      <c r="AO28" s="38"/>
      <c r="AP28" s="39"/>
      <c r="AQ28" s="39"/>
      <c r="AR28" s="41"/>
      <c r="AS28" s="42"/>
      <c r="AT28" s="39"/>
      <c r="AU28" s="39"/>
      <c r="AV28" s="39"/>
      <c r="AW28" s="40"/>
      <c r="AX28" s="38"/>
      <c r="AY28" s="39"/>
      <c r="AZ28" s="39"/>
      <c r="BA28" s="41"/>
    </row>
    <row r="29" spans="1:53" ht="11.75" customHeight="1" thickBot="1" x14ac:dyDescent="0.2">
      <c r="A29" s="37" t="s">
        <v>68</v>
      </c>
      <c r="B29" s="123"/>
      <c r="C29" s="124"/>
      <c r="D29" s="124"/>
      <c r="E29" s="125"/>
      <c r="F29" s="123"/>
      <c r="G29" s="124"/>
      <c r="H29" s="124"/>
      <c r="I29" s="126"/>
      <c r="J29" s="127"/>
      <c r="K29" s="124"/>
      <c r="L29" s="124"/>
      <c r="M29" s="124"/>
      <c r="N29" s="125"/>
      <c r="O29" s="123"/>
      <c r="P29" s="124"/>
      <c r="Q29" s="124"/>
      <c r="R29" s="126"/>
      <c r="S29" s="127"/>
      <c r="T29" s="124"/>
      <c r="U29" s="124"/>
      <c r="V29" s="125"/>
      <c r="W29" s="123"/>
      <c r="X29" s="124"/>
      <c r="Y29" s="124"/>
      <c r="Z29" s="124"/>
      <c r="AA29" s="126"/>
      <c r="AB29" s="127"/>
      <c r="AC29" s="124"/>
      <c r="AD29" s="124"/>
      <c r="AE29" s="125"/>
      <c r="AF29" s="123"/>
      <c r="AG29" s="124"/>
      <c r="AH29" s="124"/>
      <c r="AI29" s="124"/>
      <c r="AJ29" s="126"/>
      <c r="AK29" s="127"/>
      <c r="AL29" s="124"/>
      <c r="AM29" s="124"/>
      <c r="AN29" s="125"/>
      <c r="AO29" s="123"/>
      <c r="AP29" s="124"/>
      <c r="AQ29" s="124"/>
      <c r="AR29" s="126"/>
      <c r="AS29" s="127"/>
      <c r="AT29" s="124"/>
      <c r="AU29" s="124"/>
      <c r="AV29" s="124"/>
      <c r="AW29" s="125"/>
      <c r="AX29" s="123"/>
      <c r="AY29" s="124"/>
      <c r="AZ29" s="124"/>
      <c r="BA29" s="126"/>
    </row>
    <row r="30" spans="1:53" ht="11.75" customHeight="1" x14ac:dyDescent="0.15">
      <c r="A30" s="146"/>
      <c r="B30" s="147"/>
      <c r="C30" s="148"/>
      <c r="D30" s="148"/>
      <c r="E30" s="149"/>
      <c r="F30" s="147"/>
      <c r="G30" s="148"/>
      <c r="H30" s="148"/>
      <c r="I30" s="150"/>
      <c r="J30" s="151"/>
      <c r="K30" s="148"/>
      <c r="L30" s="148"/>
      <c r="M30" s="148"/>
      <c r="N30" s="149"/>
      <c r="O30" s="147"/>
      <c r="P30" s="148"/>
      <c r="Q30" s="148"/>
      <c r="R30" s="150"/>
      <c r="S30" s="151"/>
      <c r="T30" s="148"/>
      <c r="U30" s="148"/>
      <c r="V30" s="149"/>
      <c r="W30" s="147"/>
      <c r="X30" s="148"/>
      <c r="Y30" s="148"/>
      <c r="Z30" s="148"/>
      <c r="AA30" s="150"/>
      <c r="AB30" s="151"/>
      <c r="AC30" s="148"/>
      <c r="AD30" s="148"/>
      <c r="AE30" s="149"/>
      <c r="AF30" s="147"/>
      <c r="AG30" s="148"/>
      <c r="AH30" s="148"/>
      <c r="AI30" s="148"/>
      <c r="AJ30" s="150"/>
      <c r="AK30" s="151"/>
      <c r="AL30" s="148"/>
      <c r="AM30" s="148"/>
      <c r="AN30" s="149"/>
      <c r="AO30" s="147"/>
      <c r="AP30" s="148"/>
      <c r="AQ30" s="148"/>
      <c r="AR30" s="150"/>
      <c r="AS30" s="151"/>
      <c r="AT30" s="148"/>
      <c r="AU30" s="148"/>
      <c r="AV30" s="148"/>
      <c r="AW30" s="149"/>
      <c r="AX30" s="147"/>
      <c r="AY30" s="148"/>
      <c r="AZ30" s="148"/>
      <c r="BA30" s="150"/>
    </row>
    <row r="31" spans="1:53" ht="11.75" customHeight="1" x14ac:dyDescent="0.15">
      <c r="A31" s="146"/>
      <c r="B31" s="147"/>
      <c r="C31" s="148"/>
      <c r="D31" s="148"/>
      <c r="E31" s="149"/>
      <c r="F31" s="147"/>
      <c r="G31" s="148"/>
      <c r="H31" s="148"/>
      <c r="I31" s="150"/>
      <c r="J31" s="151"/>
      <c r="K31" s="148"/>
      <c r="L31" s="148"/>
      <c r="M31" s="148"/>
      <c r="N31" s="149"/>
      <c r="O31" s="147"/>
      <c r="P31" s="148"/>
      <c r="Q31" s="148"/>
      <c r="R31" s="150"/>
      <c r="S31" s="151"/>
      <c r="T31" s="148"/>
      <c r="U31" s="148"/>
      <c r="V31" s="149"/>
      <c r="W31" s="147"/>
      <c r="X31" s="148"/>
      <c r="Y31" s="148"/>
      <c r="Z31" s="148"/>
      <c r="AA31" s="150"/>
      <c r="AB31" s="151"/>
      <c r="AC31" s="148"/>
      <c r="AD31" s="148"/>
      <c r="AE31" s="149"/>
      <c r="AF31" s="147"/>
      <c r="AG31" s="148"/>
      <c r="AH31" s="148"/>
      <c r="AI31" s="148"/>
      <c r="AJ31" s="150"/>
      <c r="AK31" s="151"/>
      <c r="AL31" s="148"/>
      <c r="AM31" s="148"/>
      <c r="AN31" s="149"/>
      <c r="AO31" s="147"/>
      <c r="AP31" s="148"/>
      <c r="AQ31" s="148"/>
      <c r="AR31" s="150"/>
      <c r="AS31" s="151"/>
      <c r="AT31" s="148"/>
      <c r="AU31" s="148"/>
      <c r="AV31" s="148"/>
      <c r="AW31" s="149"/>
      <c r="AX31" s="147"/>
      <c r="AY31" s="148"/>
      <c r="AZ31" s="148"/>
      <c r="BA31" s="150"/>
    </row>
    <row r="32" spans="1:53" ht="11.75" customHeight="1" x14ac:dyDescent="0.15">
      <c r="A32" s="146"/>
      <c r="B32" s="147"/>
      <c r="C32" s="148"/>
      <c r="D32" s="148"/>
      <c r="E32" s="149"/>
      <c r="F32" s="147"/>
      <c r="G32" s="148"/>
      <c r="H32" s="148"/>
      <c r="I32" s="150"/>
      <c r="J32" s="151"/>
      <c r="K32" s="148"/>
      <c r="L32" s="148"/>
      <c r="M32" s="148"/>
      <c r="N32" s="149"/>
      <c r="O32" s="147"/>
      <c r="P32" s="148"/>
      <c r="Q32" s="148"/>
      <c r="R32" s="150"/>
      <c r="S32" s="151"/>
      <c r="T32" s="148"/>
      <c r="U32" s="148"/>
      <c r="V32" s="149"/>
      <c r="W32" s="147"/>
      <c r="X32" s="148"/>
      <c r="Y32" s="148"/>
      <c r="Z32" s="148"/>
      <c r="AA32" s="150"/>
      <c r="AB32" s="151"/>
      <c r="AC32" s="148"/>
      <c r="AD32" s="148"/>
      <c r="AE32" s="149"/>
      <c r="AF32" s="147"/>
      <c r="AG32" s="148"/>
      <c r="AH32" s="148"/>
      <c r="AI32" s="148"/>
      <c r="AJ32" s="150"/>
      <c r="AK32" s="151"/>
      <c r="AL32" s="148"/>
      <c r="AM32" s="148"/>
      <c r="AN32" s="149"/>
      <c r="AO32" s="147"/>
      <c r="AP32" s="148"/>
      <c r="AQ32" s="148"/>
      <c r="AR32" s="150"/>
      <c r="AS32" s="151"/>
      <c r="AT32" s="148"/>
      <c r="AU32" s="148"/>
      <c r="AV32" s="148"/>
      <c r="AW32" s="149"/>
      <c r="AX32" s="147"/>
      <c r="AY32" s="148"/>
      <c r="AZ32" s="148"/>
      <c r="BA32" s="150"/>
    </row>
    <row r="33" spans="1:53" ht="11.75" customHeight="1" thickBot="1" x14ac:dyDescent="0.2">
      <c r="A33" s="140"/>
      <c r="B33" s="141"/>
      <c r="C33" s="142"/>
      <c r="D33" s="142"/>
      <c r="E33" s="143"/>
      <c r="F33" s="141"/>
      <c r="G33" s="142"/>
      <c r="H33" s="142"/>
      <c r="I33" s="144"/>
      <c r="J33" s="145"/>
      <c r="K33" s="142"/>
      <c r="L33" s="142"/>
      <c r="M33" s="142"/>
      <c r="N33" s="143"/>
      <c r="O33" s="141"/>
      <c r="P33" s="142"/>
      <c r="Q33" s="142"/>
      <c r="R33" s="144"/>
      <c r="S33" s="145"/>
      <c r="T33" s="142"/>
      <c r="U33" s="142"/>
      <c r="V33" s="143"/>
      <c r="W33" s="141"/>
      <c r="X33" s="142"/>
      <c r="Y33" s="142"/>
      <c r="Z33" s="142"/>
      <c r="AA33" s="144"/>
      <c r="AB33" s="145"/>
      <c r="AC33" s="142"/>
      <c r="AD33" s="142"/>
      <c r="AE33" s="143"/>
      <c r="AF33" s="141"/>
      <c r="AG33" s="142"/>
      <c r="AH33" s="142"/>
      <c r="AI33" s="142"/>
      <c r="AJ33" s="144"/>
      <c r="AK33" s="145"/>
      <c r="AL33" s="142"/>
      <c r="AM33" s="142"/>
      <c r="AN33" s="143"/>
      <c r="AO33" s="141"/>
      <c r="AP33" s="142"/>
      <c r="AQ33" s="142"/>
      <c r="AR33" s="144"/>
      <c r="AS33" s="145"/>
      <c r="AT33" s="142"/>
      <c r="AU33" s="142"/>
      <c r="AV33" s="142"/>
      <c r="AW33" s="143"/>
      <c r="AX33" s="141"/>
      <c r="AY33" s="142"/>
      <c r="AZ33" s="142"/>
      <c r="BA33" s="144"/>
    </row>
    <row r="34" spans="1:53" ht="11.75" customHeight="1" thickBot="1" x14ac:dyDescent="0.2">
      <c r="A34" s="37" t="s">
        <v>69</v>
      </c>
      <c r="B34" s="123"/>
      <c r="C34" s="124"/>
      <c r="D34" s="124"/>
      <c r="E34" s="125"/>
      <c r="F34" s="123"/>
      <c r="G34" s="124"/>
      <c r="H34" s="124"/>
      <c r="I34" s="126"/>
      <c r="J34" s="127"/>
      <c r="K34" s="124"/>
      <c r="L34" s="124"/>
      <c r="M34" s="124"/>
      <c r="N34" s="125"/>
      <c r="O34" s="123"/>
      <c r="P34" s="124"/>
      <c r="Q34" s="124"/>
      <c r="R34" s="126"/>
      <c r="S34" s="127"/>
      <c r="T34" s="124"/>
      <c r="U34" s="124"/>
      <c r="V34" s="125"/>
      <c r="W34" s="123"/>
      <c r="X34" s="124"/>
      <c r="Y34" s="124"/>
      <c r="Z34" s="124"/>
      <c r="AA34" s="126"/>
      <c r="AB34" s="127"/>
      <c r="AC34" s="124"/>
      <c r="AD34" s="124"/>
      <c r="AE34" s="125"/>
      <c r="AF34" s="123"/>
      <c r="AG34" s="124"/>
      <c r="AH34" s="124"/>
      <c r="AI34" s="124"/>
      <c r="AJ34" s="126"/>
      <c r="AK34" s="127"/>
      <c r="AL34" s="124"/>
      <c r="AM34" s="124"/>
      <c r="AN34" s="125"/>
      <c r="AO34" s="123"/>
      <c r="AP34" s="124"/>
      <c r="AQ34" s="124"/>
      <c r="AR34" s="126"/>
      <c r="AS34" s="127"/>
      <c r="AT34" s="124"/>
      <c r="AU34" s="124"/>
      <c r="AV34" s="124"/>
      <c r="AW34" s="125"/>
      <c r="AX34" s="123"/>
      <c r="AY34" s="124"/>
      <c r="AZ34" s="124"/>
      <c r="BA34" s="126"/>
    </row>
    <row r="35" spans="1:53" ht="11.75" customHeight="1" x14ac:dyDescent="0.15">
      <c r="A35" s="146"/>
      <c r="B35" s="147"/>
      <c r="C35" s="148"/>
      <c r="D35" s="148"/>
      <c r="E35" s="149"/>
      <c r="F35" s="147"/>
      <c r="G35" s="148"/>
      <c r="H35" s="148"/>
      <c r="I35" s="150"/>
      <c r="J35" s="151"/>
      <c r="K35" s="148"/>
      <c r="L35" s="148"/>
      <c r="M35" s="148"/>
      <c r="N35" s="149"/>
      <c r="O35" s="147"/>
      <c r="P35" s="148"/>
      <c r="Q35" s="148"/>
      <c r="R35" s="150"/>
      <c r="S35" s="151"/>
      <c r="T35" s="148"/>
      <c r="U35" s="148"/>
      <c r="V35" s="149"/>
      <c r="W35" s="147"/>
      <c r="X35" s="148"/>
      <c r="Y35" s="148"/>
      <c r="Z35" s="148"/>
      <c r="AA35" s="150"/>
      <c r="AB35" s="151"/>
      <c r="AC35" s="148"/>
      <c r="AD35" s="148"/>
      <c r="AE35" s="149"/>
      <c r="AF35" s="147"/>
      <c r="AG35" s="148"/>
      <c r="AH35" s="148"/>
      <c r="AI35" s="148"/>
      <c r="AJ35" s="150"/>
      <c r="AK35" s="151"/>
      <c r="AL35" s="148"/>
      <c r="AM35" s="148"/>
      <c r="AN35" s="149"/>
      <c r="AO35" s="147"/>
      <c r="AP35" s="148"/>
      <c r="AQ35" s="148"/>
      <c r="AR35" s="150"/>
      <c r="AS35" s="151"/>
      <c r="AT35" s="148"/>
      <c r="AU35" s="148"/>
      <c r="AV35" s="148"/>
      <c r="AW35" s="149"/>
      <c r="AX35" s="147"/>
      <c r="AY35" s="148"/>
      <c r="AZ35" s="148"/>
      <c r="BA35" s="150"/>
    </row>
    <row r="36" spans="1:53" ht="11.75" customHeight="1" x14ac:dyDescent="0.15">
      <c r="A36" s="146"/>
      <c r="B36" s="147"/>
      <c r="C36" s="148"/>
      <c r="D36" s="148"/>
      <c r="E36" s="149"/>
      <c r="F36" s="147"/>
      <c r="G36" s="148"/>
      <c r="H36" s="148"/>
      <c r="I36" s="150"/>
      <c r="J36" s="151"/>
      <c r="K36" s="148"/>
      <c r="L36" s="148"/>
      <c r="M36" s="148"/>
      <c r="N36" s="149"/>
      <c r="O36" s="147"/>
      <c r="P36" s="148"/>
      <c r="Q36" s="148"/>
      <c r="R36" s="150"/>
      <c r="S36" s="151"/>
      <c r="T36" s="148"/>
      <c r="U36" s="148"/>
      <c r="V36" s="149"/>
      <c r="W36" s="147"/>
      <c r="X36" s="148"/>
      <c r="Y36" s="148"/>
      <c r="Z36" s="148"/>
      <c r="AA36" s="150"/>
      <c r="AB36" s="151"/>
      <c r="AC36" s="148"/>
      <c r="AD36" s="148"/>
      <c r="AE36" s="149"/>
      <c r="AF36" s="147"/>
      <c r="AG36" s="148"/>
      <c r="AH36" s="148"/>
      <c r="AI36" s="148"/>
      <c r="AJ36" s="150"/>
      <c r="AK36" s="151"/>
      <c r="AL36" s="148"/>
      <c r="AM36" s="148"/>
      <c r="AN36" s="149"/>
      <c r="AO36" s="147"/>
      <c r="AP36" s="148"/>
      <c r="AQ36" s="148"/>
      <c r="AR36" s="150"/>
      <c r="AS36" s="151"/>
      <c r="AT36" s="148"/>
      <c r="AU36" s="148"/>
      <c r="AV36" s="148"/>
      <c r="AW36" s="149"/>
      <c r="AX36" s="147"/>
      <c r="AY36" s="148"/>
      <c r="AZ36" s="148"/>
      <c r="BA36" s="150"/>
    </row>
    <row r="37" spans="1:53" ht="11.75" customHeight="1" x14ac:dyDescent="0.15">
      <c r="A37" s="134"/>
      <c r="B37" s="135"/>
      <c r="C37" s="136"/>
      <c r="D37" s="136"/>
      <c r="E37" s="137"/>
      <c r="F37" s="135"/>
      <c r="G37" s="136"/>
      <c r="H37" s="136"/>
      <c r="I37" s="138"/>
      <c r="J37" s="139"/>
      <c r="K37" s="136"/>
      <c r="L37" s="136"/>
      <c r="M37" s="136"/>
      <c r="N37" s="137"/>
      <c r="O37" s="135"/>
      <c r="P37" s="136"/>
      <c r="Q37" s="136"/>
      <c r="R37" s="138"/>
      <c r="S37" s="139"/>
      <c r="T37" s="136"/>
      <c r="U37" s="136"/>
      <c r="V37" s="137"/>
      <c r="W37" s="135"/>
      <c r="X37" s="136"/>
      <c r="Y37" s="136"/>
      <c r="Z37" s="136"/>
      <c r="AA37" s="138"/>
      <c r="AB37" s="139"/>
      <c r="AC37" s="136"/>
      <c r="AD37" s="136"/>
      <c r="AE37" s="137"/>
      <c r="AF37" s="135"/>
      <c r="AG37" s="136"/>
      <c r="AH37" s="136"/>
      <c r="AI37" s="136"/>
      <c r="AJ37" s="138"/>
      <c r="AK37" s="139"/>
      <c r="AL37" s="136"/>
      <c r="AM37" s="136"/>
      <c r="AN37" s="137"/>
      <c r="AO37" s="135"/>
      <c r="AP37" s="136"/>
      <c r="AQ37" s="136"/>
      <c r="AR37" s="138"/>
      <c r="AS37" s="139"/>
      <c r="AT37" s="136"/>
      <c r="AU37" s="136"/>
      <c r="AV37" s="136"/>
      <c r="AW37" s="137"/>
      <c r="AX37" s="135"/>
      <c r="AY37" s="136"/>
      <c r="AZ37" s="136"/>
      <c r="BA37" s="138"/>
    </row>
    <row r="38" spans="1:53" ht="11.75" customHeight="1" thickBot="1" x14ac:dyDescent="0.2">
      <c r="A38" s="158"/>
      <c r="B38" s="153"/>
      <c r="C38" s="154"/>
      <c r="D38" s="154"/>
      <c r="E38" s="155"/>
      <c r="F38" s="153"/>
      <c r="G38" s="154"/>
      <c r="H38" s="154"/>
      <c r="I38" s="156"/>
      <c r="J38" s="157"/>
      <c r="K38" s="154"/>
      <c r="L38" s="154"/>
      <c r="M38" s="154"/>
      <c r="N38" s="155"/>
      <c r="O38" s="153"/>
      <c r="P38" s="154"/>
      <c r="Q38" s="154"/>
      <c r="R38" s="156"/>
      <c r="S38" s="157"/>
      <c r="T38" s="154"/>
      <c r="U38" s="154"/>
      <c r="V38" s="155"/>
      <c r="W38" s="153"/>
      <c r="X38" s="154"/>
      <c r="Y38" s="154"/>
      <c r="Z38" s="154"/>
      <c r="AA38" s="156"/>
      <c r="AB38" s="157"/>
      <c r="AC38" s="154"/>
      <c r="AD38" s="154"/>
      <c r="AE38" s="155"/>
      <c r="AF38" s="153"/>
      <c r="AG38" s="154"/>
      <c r="AH38" s="154"/>
      <c r="AI38" s="154"/>
      <c r="AJ38" s="156"/>
      <c r="AK38" s="157"/>
      <c r="AL38" s="154"/>
      <c r="AM38" s="154"/>
      <c r="AN38" s="155"/>
      <c r="AO38" s="153"/>
      <c r="AP38" s="154"/>
      <c r="AQ38" s="154"/>
      <c r="AR38" s="156"/>
      <c r="AS38" s="157"/>
      <c r="AT38" s="154"/>
      <c r="AU38" s="154"/>
      <c r="AV38" s="154"/>
      <c r="AW38" s="155"/>
      <c r="AX38" s="153"/>
      <c r="AY38" s="154"/>
      <c r="AZ38" s="154"/>
      <c r="BA38" s="156"/>
    </row>
    <row r="39" spans="1:53" ht="11.75" customHeight="1" thickBot="1" x14ac:dyDescent="0.2">
      <c r="A39" s="36" t="s">
        <v>5</v>
      </c>
      <c r="B39" s="38"/>
      <c r="C39" s="39"/>
      <c r="D39" s="39"/>
      <c r="E39" s="40"/>
      <c r="F39" s="38"/>
      <c r="G39" s="39"/>
      <c r="H39" s="39"/>
      <c r="I39" s="41"/>
      <c r="J39" s="42"/>
      <c r="K39" s="39"/>
      <c r="L39" s="39"/>
      <c r="M39" s="39"/>
      <c r="N39" s="40"/>
      <c r="O39" s="38"/>
      <c r="P39" s="39"/>
      <c r="Q39" s="39"/>
      <c r="R39" s="41"/>
      <c r="S39" s="42"/>
      <c r="T39" s="39"/>
      <c r="U39" s="39"/>
      <c r="V39" s="40"/>
      <c r="W39" s="38"/>
      <c r="X39" s="39"/>
      <c r="Y39" s="39"/>
      <c r="Z39" s="39"/>
      <c r="AA39" s="41"/>
      <c r="AB39" s="42"/>
      <c r="AC39" s="39"/>
      <c r="AD39" s="39"/>
      <c r="AE39" s="40"/>
      <c r="AF39" s="38"/>
      <c r="AG39" s="39"/>
      <c r="AH39" s="39"/>
      <c r="AI39" s="39"/>
      <c r="AJ39" s="41"/>
      <c r="AK39" s="42"/>
      <c r="AL39" s="39"/>
      <c r="AM39" s="39"/>
      <c r="AN39" s="40"/>
      <c r="AO39" s="38"/>
      <c r="AP39" s="39"/>
      <c r="AQ39" s="39"/>
      <c r="AR39" s="41"/>
      <c r="AS39" s="42"/>
      <c r="AT39" s="39"/>
      <c r="AU39" s="39"/>
      <c r="AV39" s="39"/>
      <c r="AW39" s="40"/>
      <c r="AX39" s="38"/>
      <c r="AY39" s="39"/>
      <c r="AZ39" s="39"/>
      <c r="BA39" s="41"/>
    </row>
    <row r="40" spans="1:53" ht="11.75" customHeight="1" thickBot="1" x14ac:dyDescent="0.2">
      <c r="A40" s="37" t="s">
        <v>70</v>
      </c>
      <c r="B40" s="123"/>
      <c r="C40" s="124"/>
      <c r="D40" s="124"/>
      <c r="E40" s="125"/>
      <c r="F40" s="123"/>
      <c r="G40" s="124"/>
      <c r="H40" s="124"/>
      <c r="I40" s="126"/>
      <c r="J40" s="127"/>
      <c r="K40" s="124"/>
      <c r="L40" s="124"/>
      <c r="M40" s="124"/>
      <c r="N40" s="125"/>
      <c r="O40" s="123"/>
      <c r="P40" s="124"/>
      <c r="Q40" s="124"/>
      <c r="R40" s="126"/>
      <c r="S40" s="127"/>
      <c r="T40" s="124"/>
      <c r="U40" s="124"/>
      <c r="V40" s="125"/>
      <c r="W40" s="123"/>
      <c r="X40" s="124"/>
      <c r="Y40" s="124"/>
      <c r="Z40" s="124"/>
      <c r="AA40" s="126"/>
      <c r="AB40" s="127"/>
      <c r="AC40" s="124"/>
      <c r="AD40" s="124"/>
      <c r="AE40" s="125"/>
      <c r="AF40" s="123"/>
      <c r="AG40" s="124"/>
      <c r="AH40" s="124"/>
      <c r="AI40" s="124"/>
      <c r="AJ40" s="126"/>
      <c r="AK40" s="127"/>
      <c r="AL40" s="124"/>
      <c r="AM40" s="124"/>
      <c r="AN40" s="125"/>
      <c r="AO40" s="123"/>
      <c r="AP40" s="124"/>
      <c r="AQ40" s="124"/>
      <c r="AR40" s="126"/>
      <c r="AS40" s="127"/>
      <c r="AT40" s="124"/>
      <c r="AU40" s="124"/>
      <c r="AV40" s="124"/>
      <c r="AW40" s="125"/>
      <c r="AX40" s="123"/>
      <c r="AY40" s="124"/>
      <c r="AZ40" s="124"/>
      <c r="BA40" s="126"/>
    </row>
    <row r="41" spans="1:53" ht="11.75" customHeight="1" x14ac:dyDescent="0.15">
      <c r="A41" s="146"/>
      <c r="B41" s="147"/>
      <c r="C41" s="148"/>
      <c r="D41" s="148"/>
      <c r="E41" s="149"/>
      <c r="F41" s="147"/>
      <c r="G41" s="148"/>
      <c r="H41" s="148"/>
      <c r="I41" s="150"/>
      <c r="J41" s="151"/>
      <c r="K41" s="148"/>
      <c r="L41" s="148"/>
      <c r="M41" s="148"/>
      <c r="N41" s="149"/>
      <c r="O41" s="147"/>
      <c r="P41" s="148"/>
      <c r="Q41" s="148"/>
      <c r="R41" s="150"/>
      <c r="S41" s="151"/>
      <c r="T41" s="148"/>
      <c r="U41" s="148"/>
      <c r="V41" s="149"/>
      <c r="W41" s="147"/>
      <c r="X41" s="148"/>
      <c r="Y41" s="148"/>
      <c r="Z41" s="148"/>
      <c r="AA41" s="150"/>
      <c r="AB41" s="151"/>
      <c r="AC41" s="148"/>
      <c r="AD41" s="148"/>
      <c r="AE41" s="149"/>
      <c r="AF41" s="147"/>
      <c r="AG41" s="148"/>
      <c r="AH41" s="148"/>
      <c r="AI41" s="148"/>
      <c r="AJ41" s="150"/>
      <c r="AK41" s="151"/>
      <c r="AL41" s="148"/>
      <c r="AM41" s="148"/>
      <c r="AN41" s="149"/>
      <c r="AO41" s="147"/>
      <c r="AP41" s="148"/>
      <c r="AQ41" s="148"/>
      <c r="AR41" s="150"/>
      <c r="AS41" s="151"/>
      <c r="AT41" s="148"/>
      <c r="AU41" s="148"/>
      <c r="AV41" s="148"/>
      <c r="AW41" s="149"/>
      <c r="AX41" s="147"/>
      <c r="AY41" s="148"/>
      <c r="AZ41" s="148"/>
      <c r="BA41" s="150"/>
    </row>
    <row r="42" spans="1:53" ht="11.75" customHeight="1" x14ac:dyDescent="0.15">
      <c r="A42" s="146"/>
      <c r="B42" s="147"/>
      <c r="C42" s="148"/>
      <c r="D42" s="148"/>
      <c r="E42" s="149"/>
      <c r="F42" s="147"/>
      <c r="G42" s="148"/>
      <c r="H42" s="148"/>
      <c r="I42" s="150"/>
      <c r="J42" s="151"/>
      <c r="K42" s="148"/>
      <c r="L42" s="148"/>
      <c r="M42" s="148"/>
      <c r="N42" s="149"/>
      <c r="O42" s="147"/>
      <c r="P42" s="148"/>
      <c r="Q42" s="148"/>
      <c r="R42" s="150"/>
      <c r="S42" s="151"/>
      <c r="T42" s="148"/>
      <c r="U42" s="148"/>
      <c r="V42" s="149"/>
      <c r="W42" s="147"/>
      <c r="X42" s="148"/>
      <c r="Y42" s="148"/>
      <c r="Z42" s="148"/>
      <c r="AA42" s="150"/>
      <c r="AB42" s="151"/>
      <c r="AC42" s="148"/>
      <c r="AD42" s="148"/>
      <c r="AE42" s="149"/>
      <c r="AF42" s="147"/>
      <c r="AG42" s="148"/>
      <c r="AH42" s="148"/>
      <c r="AI42" s="148"/>
      <c r="AJ42" s="150"/>
      <c r="AK42" s="151"/>
      <c r="AL42" s="148"/>
      <c r="AM42" s="148"/>
      <c r="AN42" s="149"/>
      <c r="AO42" s="147"/>
      <c r="AP42" s="148"/>
      <c r="AQ42" s="148"/>
      <c r="AR42" s="150"/>
      <c r="AS42" s="151"/>
      <c r="AT42" s="148"/>
      <c r="AU42" s="148"/>
      <c r="AV42" s="148"/>
      <c r="AW42" s="149"/>
      <c r="AX42" s="147"/>
      <c r="AY42" s="148"/>
      <c r="AZ42" s="148"/>
      <c r="BA42" s="150"/>
    </row>
    <row r="43" spans="1:53" ht="11.75" customHeight="1" x14ac:dyDescent="0.15">
      <c r="A43" s="134"/>
      <c r="B43" s="135"/>
      <c r="C43" s="136"/>
      <c r="D43" s="136"/>
      <c r="E43" s="137"/>
      <c r="F43" s="135"/>
      <c r="G43" s="136"/>
      <c r="H43" s="136"/>
      <c r="I43" s="138"/>
      <c r="J43" s="139"/>
      <c r="K43" s="136"/>
      <c r="L43" s="136"/>
      <c r="M43" s="136"/>
      <c r="N43" s="137"/>
      <c r="O43" s="135"/>
      <c r="P43" s="136"/>
      <c r="Q43" s="136"/>
      <c r="R43" s="138"/>
      <c r="S43" s="139"/>
      <c r="T43" s="136"/>
      <c r="U43" s="136"/>
      <c r="V43" s="137"/>
      <c r="W43" s="135"/>
      <c r="X43" s="136"/>
      <c r="Y43" s="136"/>
      <c r="Z43" s="136"/>
      <c r="AA43" s="138"/>
      <c r="AB43" s="139"/>
      <c r="AC43" s="136"/>
      <c r="AD43" s="136"/>
      <c r="AE43" s="137"/>
      <c r="AF43" s="135"/>
      <c r="AG43" s="136"/>
      <c r="AH43" s="136"/>
      <c r="AI43" s="136"/>
      <c r="AJ43" s="138"/>
      <c r="AK43" s="139"/>
      <c r="AL43" s="136"/>
      <c r="AM43" s="136"/>
      <c r="AN43" s="137"/>
      <c r="AO43" s="135"/>
      <c r="AP43" s="136"/>
      <c r="AQ43" s="136"/>
      <c r="AR43" s="138"/>
      <c r="AS43" s="139"/>
      <c r="AT43" s="136"/>
      <c r="AU43" s="136"/>
      <c r="AV43" s="136"/>
      <c r="AW43" s="137"/>
      <c r="AX43" s="135"/>
      <c r="AY43" s="136"/>
      <c r="AZ43" s="136"/>
      <c r="BA43" s="138"/>
    </row>
    <row r="44" spans="1:53" ht="11.75" customHeight="1" thickBot="1" x14ac:dyDescent="0.2">
      <c r="A44" s="159"/>
      <c r="B44" s="141"/>
      <c r="C44" s="142"/>
      <c r="D44" s="142"/>
      <c r="E44" s="143"/>
      <c r="F44" s="141"/>
      <c r="G44" s="142"/>
      <c r="H44" s="142"/>
      <c r="I44" s="144"/>
      <c r="J44" s="145"/>
      <c r="K44" s="142"/>
      <c r="L44" s="142"/>
      <c r="M44" s="142"/>
      <c r="N44" s="143"/>
      <c r="O44" s="141"/>
      <c r="P44" s="142"/>
      <c r="Q44" s="142"/>
      <c r="R44" s="144"/>
      <c r="S44" s="145"/>
      <c r="T44" s="142"/>
      <c r="U44" s="142"/>
      <c r="V44" s="143"/>
      <c r="W44" s="141"/>
      <c r="X44" s="142"/>
      <c r="Y44" s="142"/>
      <c r="Z44" s="142"/>
      <c r="AA44" s="144"/>
      <c r="AB44" s="145"/>
      <c r="AC44" s="142"/>
      <c r="AD44" s="142"/>
      <c r="AE44" s="143"/>
      <c r="AF44" s="141"/>
      <c r="AG44" s="142"/>
      <c r="AH44" s="142"/>
      <c r="AI44" s="142"/>
      <c r="AJ44" s="144"/>
      <c r="AK44" s="145"/>
      <c r="AL44" s="142"/>
      <c r="AM44" s="142"/>
      <c r="AN44" s="143"/>
      <c r="AO44" s="141"/>
      <c r="AP44" s="142"/>
      <c r="AQ44" s="142"/>
      <c r="AR44" s="144"/>
      <c r="AS44" s="145"/>
      <c r="AT44" s="142"/>
      <c r="AU44" s="142"/>
      <c r="AV44" s="142"/>
      <c r="AW44" s="143"/>
      <c r="AX44" s="141"/>
      <c r="AY44" s="142"/>
      <c r="AZ44" s="142"/>
      <c r="BA44" s="144"/>
    </row>
    <row r="45" spans="1:53" ht="11.75" customHeight="1" thickBot="1" x14ac:dyDescent="0.2">
      <c r="A45" s="37" t="s">
        <v>71</v>
      </c>
      <c r="B45" s="123"/>
      <c r="C45" s="124"/>
      <c r="D45" s="124"/>
      <c r="E45" s="125"/>
      <c r="F45" s="123"/>
      <c r="G45" s="124"/>
      <c r="H45" s="124"/>
      <c r="I45" s="126"/>
      <c r="J45" s="127"/>
      <c r="K45" s="124"/>
      <c r="L45" s="124"/>
      <c r="M45" s="124"/>
      <c r="N45" s="125"/>
      <c r="O45" s="123"/>
      <c r="P45" s="124"/>
      <c r="Q45" s="124"/>
      <c r="R45" s="126"/>
      <c r="S45" s="127"/>
      <c r="T45" s="124"/>
      <c r="U45" s="124"/>
      <c r="V45" s="125"/>
      <c r="W45" s="123"/>
      <c r="X45" s="124"/>
      <c r="Y45" s="124"/>
      <c r="Z45" s="124"/>
      <c r="AA45" s="126"/>
      <c r="AB45" s="127"/>
      <c r="AC45" s="124"/>
      <c r="AD45" s="124"/>
      <c r="AE45" s="125"/>
      <c r="AF45" s="123"/>
      <c r="AG45" s="124"/>
      <c r="AH45" s="124"/>
      <c r="AI45" s="124"/>
      <c r="AJ45" s="126"/>
      <c r="AK45" s="127"/>
      <c r="AL45" s="124"/>
      <c r="AM45" s="124"/>
      <c r="AN45" s="125"/>
      <c r="AO45" s="123"/>
      <c r="AP45" s="124"/>
      <c r="AQ45" s="124"/>
      <c r="AR45" s="126"/>
      <c r="AS45" s="127"/>
      <c r="AT45" s="124"/>
      <c r="AU45" s="124"/>
      <c r="AV45" s="124"/>
      <c r="AW45" s="125"/>
      <c r="AX45" s="123"/>
      <c r="AY45" s="124"/>
      <c r="AZ45" s="124"/>
      <c r="BA45" s="126"/>
    </row>
    <row r="46" spans="1:53" ht="11.75" customHeight="1" x14ac:dyDescent="0.15">
      <c r="A46" s="160"/>
      <c r="B46" s="161"/>
      <c r="C46" s="162"/>
      <c r="D46" s="162"/>
      <c r="E46" s="163"/>
      <c r="F46" s="161"/>
      <c r="G46" s="162"/>
      <c r="H46" s="162"/>
      <c r="I46" s="164"/>
      <c r="J46" s="165"/>
      <c r="K46" s="162"/>
      <c r="L46" s="162"/>
      <c r="M46" s="162"/>
      <c r="N46" s="163"/>
      <c r="O46" s="161"/>
      <c r="P46" s="162"/>
      <c r="Q46" s="162"/>
      <c r="R46" s="164"/>
      <c r="S46" s="165"/>
      <c r="T46" s="162"/>
      <c r="U46" s="162"/>
      <c r="V46" s="163"/>
      <c r="W46" s="161"/>
      <c r="X46" s="162"/>
      <c r="Y46" s="162"/>
      <c r="Z46" s="162"/>
      <c r="AA46" s="164"/>
      <c r="AB46" s="165"/>
      <c r="AC46" s="162"/>
      <c r="AD46" s="162"/>
      <c r="AE46" s="163"/>
      <c r="AF46" s="161"/>
      <c r="AG46" s="162"/>
      <c r="AH46" s="162"/>
      <c r="AI46" s="162"/>
      <c r="AJ46" s="164"/>
      <c r="AK46" s="165"/>
      <c r="AL46" s="162"/>
      <c r="AM46" s="162"/>
      <c r="AN46" s="163"/>
      <c r="AO46" s="161"/>
      <c r="AP46" s="162"/>
      <c r="AQ46" s="162"/>
      <c r="AR46" s="164"/>
      <c r="AS46" s="165"/>
      <c r="AT46" s="162"/>
      <c r="AU46" s="162"/>
      <c r="AV46" s="162"/>
      <c r="AW46" s="163"/>
      <c r="AX46" s="161"/>
      <c r="AY46" s="162"/>
      <c r="AZ46" s="162"/>
      <c r="BA46" s="164"/>
    </row>
    <row r="47" spans="1:53" ht="11.75" customHeight="1" x14ac:dyDescent="0.15">
      <c r="A47" s="146"/>
      <c r="B47" s="147"/>
      <c r="C47" s="148"/>
      <c r="D47" s="148"/>
      <c r="E47" s="149"/>
      <c r="F47" s="147"/>
      <c r="G47" s="148"/>
      <c r="H47" s="148"/>
      <c r="I47" s="150"/>
      <c r="J47" s="151"/>
      <c r="K47" s="148"/>
      <c r="L47" s="148"/>
      <c r="M47" s="148"/>
      <c r="N47" s="149"/>
      <c r="O47" s="147"/>
      <c r="P47" s="148"/>
      <c r="Q47" s="148"/>
      <c r="R47" s="150"/>
      <c r="S47" s="151"/>
      <c r="T47" s="148"/>
      <c r="U47" s="148"/>
      <c r="V47" s="149"/>
      <c r="W47" s="147"/>
      <c r="X47" s="148"/>
      <c r="Y47" s="148"/>
      <c r="Z47" s="148"/>
      <c r="AA47" s="150"/>
      <c r="AB47" s="151"/>
      <c r="AC47" s="148"/>
      <c r="AD47" s="148"/>
      <c r="AE47" s="149"/>
      <c r="AF47" s="147"/>
      <c r="AG47" s="148"/>
      <c r="AH47" s="148"/>
      <c r="AI47" s="148"/>
      <c r="AJ47" s="150"/>
      <c r="AK47" s="151"/>
      <c r="AL47" s="148"/>
      <c r="AM47" s="148"/>
      <c r="AN47" s="149"/>
      <c r="AO47" s="147"/>
      <c r="AP47" s="148"/>
      <c r="AQ47" s="148"/>
      <c r="AR47" s="150"/>
      <c r="AS47" s="151"/>
      <c r="AT47" s="148"/>
      <c r="AU47" s="148"/>
      <c r="AV47" s="148"/>
      <c r="AW47" s="149"/>
      <c r="AX47" s="147"/>
      <c r="AY47" s="148"/>
      <c r="AZ47" s="148"/>
      <c r="BA47" s="150"/>
    </row>
    <row r="48" spans="1:53" ht="11.75" customHeight="1" x14ac:dyDescent="0.15">
      <c r="A48" s="134"/>
      <c r="B48" s="135"/>
      <c r="C48" s="136"/>
      <c r="D48" s="136"/>
      <c r="E48" s="137"/>
      <c r="F48" s="135"/>
      <c r="G48" s="136"/>
      <c r="H48" s="136"/>
      <c r="I48" s="138"/>
      <c r="J48" s="139"/>
      <c r="K48" s="136"/>
      <c r="L48" s="136"/>
      <c r="M48" s="136"/>
      <c r="N48" s="137"/>
      <c r="O48" s="135"/>
      <c r="P48" s="136"/>
      <c r="Q48" s="136"/>
      <c r="R48" s="138"/>
      <c r="S48" s="139"/>
      <c r="T48" s="136"/>
      <c r="U48" s="136"/>
      <c r="V48" s="137"/>
      <c r="W48" s="135"/>
      <c r="X48" s="136"/>
      <c r="Y48" s="136"/>
      <c r="Z48" s="136"/>
      <c r="AA48" s="138"/>
      <c r="AB48" s="139"/>
      <c r="AC48" s="136"/>
      <c r="AD48" s="136"/>
      <c r="AE48" s="137"/>
      <c r="AF48" s="135"/>
      <c r="AG48" s="136"/>
      <c r="AH48" s="136"/>
      <c r="AI48" s="136"/>
      <c r="AJ48" s="138"/>
      <c r="AK48" s="139"/>
      <c r="AL48" s="136"/>
      <c r="AM48" s="136"/>
      <c r="AN48" s="137"/>
      <c r="AO48" s="135"/>
      <c r="AP48" s="136"/>
      <c r="AQ48" s="136"/>
      <c r="AR48" s="138"/>
      <c r="AS48" s="139"/>
      <c r="AT48" s="136"/>
      <c r="AU48" s="136"/>
      <c r="AV48" s="136"/>
      <c r="AW48" s="137"/>
      <c r="AX48" s="135"/>
      <c r="AY48" s="136"/>
      <c r="AZ48" s="136"/>
      <c r="BA48" s="138"/>
    </row>
    <row r="49" spans="1:53" ht="11.75" customHeight="1" thickBot="1" x14ac:dyDescent="0.2">
      <c r="A49" s="158"/>
      <c r="B49" s="153"/>
      <c r="C49" s="154"/>
      <c r="D49" s="154"/>
      <c r="E49" s="155"/>
      <c r="F49" s="153"/>
      <c r="G49" s="154"/>
      <c r="H49" s="154"/>
      <c r="I49" s="156"/>
      <c r="J49" s="157"/>
      <c r="K49" s="154"/>
      <c r="L49" s="154"/>
      <c r="M49" s="154"/>
      <c r="N49" s="155"/>
      <c r="O49" s="153"/>
      <c r="P49" s="154"/>
      <c r="Q49" s="154"/>
      <c r="R49" s="156"/>
      <c r="S49" s="157"/>
      <c r="T49" s="154"/>
      <c r="U49" s="154"/>
      <c r="V49" s="155"/>
      <c r="W49" s="153"/>
      <c r="X49" s="154"/>
      <c r="Y49" s="154"/>
      <c r="Z49" s="154"/>
      <c r="AA49" s="156"/>
      <c r="AB49" s="157"/>
      <c r="AC49" s="154"/>
      <c r="AD49" s="154"/>
      <c r="AE49" s="155"/>
      <c r="AF49" s="153"/>
      <c r="AG49" s="154"/>
      <c r="AH49" s="154"/>
      <c r="AI49" s="154"/>
      <c r="AJ49" s="156"/>
      <c r="AK49" s="157"/>
      <c r="AL49" s="154"/>
      <c r="AM49" s="154"/>
      <c r="AN49" s="155"/>
      <c r="AO49" s="153"/>
      <c r="AP49" s="154"/>
      <c r="AQ49" s="154"/>
      <c r="AR49" s="156"/>
      <c r="AS49" s="157"/>
      <c r="AT49" s="154"/>
      <c r="AU49" s="154"/>
      <c r="AV49" s="154"/>
      <c r="AW49" s="155"/>
      <c r="AX49" s="153"/>
      <c r="AY49" s="154"/>
      <c r="AZ49" s="154"/>
      <c r="BA49" s="156"/>
    </row>
  </sheetData>
  <mergeCells count="14">
    <mergeCell ref="A1:BA1"/>
    <mergeCell ref="A2:BA2"/>
    <mergeCell ref="AB5:AE5"/>
    <mergeCell ref="AF5:AJ5"/>
    <mergeCell ref="AK5:AN5"/>
    <mergeCell ref="AO5:AR5"/>
    <mergeCell ref="AS5:AW5"/>
    <mergeCell ref="AX5:BA5"/>
    <mergeCell ref="B5:E5"/>
    <mergeCell ref="F5:I5"/>
    <mergeCell ref="J5:N5"/>
    <mergeCell ref="O5:R5"/>
    <mergeCell ref="S5:V5"/>
    <mergeCell ref="W5:AA5"/>
  </mergeCells>
  <pageMargins left="0.19685039370078741" right="0.19685039370078741" top="0.19685039370078741" bottom="0.19685039370078741" header="0.19685039370078741" footer="0.19685039370078741"/>
  <pageSetup paperSize="9"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NQ69"/>
  <sheetViews>
    <sheetView tabSelected="1" zoomScale="91" zoomScaleNormal="91" zoomScalePageLayoutView="75" workbookViewId="0">
      <pane xSplit="3" topLeftCell="D1" activePane="topRight" state="frozen"/>
      <selection pane="topRight" activeCell="G19" sqref="G19"/>
    </sheetView>
  </sheetViews>
  <sheetFormatPr baseColWidth="10" defaultColWidth="10.83203125" defaultRowHeight="13" x14ac:dyDescent="0.2"/>
  <cols>
    <col min="1" max="1" width="5.83203125" style="43" customWidth="1"/>
    <col min="2" max="2" width="27" style="43" customWidth="1"/>
    <col min="3" max="3" width="6.1640625" style="95" customWidth="1"/>
    <col min="4" max="381" width="20.83203125" style="43" customWidth="1"/>
    <col min="382" max="16384" width="10.83203125" style="43"/>
  </cols>
  <sheetData>
    <row r="3" spans="1:381" x14ac:dyDescent="0.2">
      <c r="C3" s="43"/>
    </row>
    <row r="4" spans="1:381" ht="14" thickBot="1" x14ac:dyDescent="0.25"/>
    <row r="5" spans="1:381" s="52" customFormat="1" ht="15" customHeight="1" thickBot="1" x14ac:dyDescent="0.25">
      <c r="A5" s="199" t="s">
        <v>0</v>
      </c>
      <c r="B5" s="200"/>
      <c r="C5" s="201" t="s">
        <v>50</v>
      </c>
      <c r="D5" s="46" t="s">
        <v>52</v>
      </c>
      <c r="E5" s="47" t="s">
        <v>56</v>
      </c>
      <c r="F5" s="47" t="s">
        <v>53</v>
      </c>
      <c r="G5" s="47">
        <v>0</v>
      </c>
      <c r="H5" s="47"/>
      <c r="I5" s="47"/>
      <c r="J5" s="48"/>
      <c r="K5" s="49" t="s">
        <v>52</v>
      </c>
      <c r="L5" s="50" t="s">
        <v>96</v>
      </c>
      <c r="M5" s="50" t="s">
        <v>53</v>
      </c>
      <c r="N5" s="50">
        <v>1</v>
      </c>
      <c r="O5" s="50"/>
      <c r="P5" s="50"/>
      <c r="Q5" s="51"/>
      <c r="R5" s="49" t="s">
        <v>52</v>
      </c>
      <c r="S5" s="50" t="s">
        <v>96</v>
      </c>
      <c r="T5" s="50" t="s">
        <v>53</v>
      </c>
      <c r="U5" s="50">
        <v>2</v>
      </c>
      <c r="V5" s="50"/>
      <c r="W5" s="50"/>
      <c r="X5" s="51"/>
      <c r="Y5" s="49" t="s">
        <v>52</v>
      </c>
      <c r="Z5" s="50" t="s">
        <v>96</v>
      </c>
      <c r="AA5" s="50" t="s">
        <v>53</v>
      </c>
      <c r="AB5" s="50">
        <v>3</v>
      </c>
      <c r="AC5" s="50"/>
      <c r="AD5" s="50"/>
      <c r="AE5" s="51"/>
      <c r="AF5" s="49" t="s">
        <v>52</v>
      </c>
      <c r="AG5" s="50" t="s">
        <v>96</v>
      </c>
      <c r="AH5" s="50" t="s">
        <v>53</v>
      </c>
      <c r="AI5" s="50">
        <v>4</v>
      </c>
      <c r="AJ5" s="50"/>
      <c r="AK5" s="50"/>
      <c r="AL5" s="51"/>
      <c r="AM5" s="49" t="s">
        <v>52</v>
      </c>
      <c r="AN5" s="50" t="s">
        <v>97</v>
      </c>
      <c r="AO5" s="50" t="s">
        <v>53</v>
      </c>
      <c r="AP5" s="50">
        <v>5</v>
      </c>
      <c r="AQ5" s="50"/>
      <c r="AR5" s="50"/>
      <c r="AS5" s="51"/>
      <c r="AT5" s="49" t="s">
        <v>52</v>
      </c>
      <c r="AU5" s="50"/>
      <c r="AV5" s="50" t="s">
        <v>53</v>
      </c>
      <c r="AW5" s="50">
        <v>6</v>
      </c>
      <c r="AX5" s="50"/>
      <c r="AY5" s="50"/>
      <c r="AZ5" s="51"/>
      <c r="BA5" s="49" t="s">
        <v>52</v>
      </c>
      <c r="BB5" s="50" t="s">
        <v>97</v>
      </c>
      <c r="BC5" s="50" t="s">
        <v>53</v>
      </c>
      <c r="BD5" s="50">
        <v>7</v>
      </c>
      <c r="BE5" s="50"/>
      <c r="BF5" s="50"/>
      <c r="BG5" s="51"/>
      <c r="BH5" s="49" t="s">
        <v>52</v>
      </c>
      <c r="BI5" s="50" t="s">
        <v>97</v>
      </c>
      <c r="BJ5" s="50" t="s">
        <v>53</v>
      </c>
      <c r="BK5" s="50">
        <v>8</v>
      </c>
      <c r="BL5" s="50"/>
      <c r="BM5" s="50"/>
      <c r="BN5" s="51"/>
      <c r="BO5" s="49" t="s">
        <v>52</v>
      </c>
      <c r="BP5" s="50" t="s">
        <v>98</v>
      </c>
      <c r="BQ5" s="50" t="s">
        <v>53</v>
      </c>
      <c r="BR5" s="50">
        <v>9</v>
      </c>
      <c r="BS5" s="50"/>
      <c r="BT5" s="50"/>
      <c r="BU5" s="51"/>
      <c r="BV5" s="49" t="s">
        <v>52</v>
      </c>
      <c r="BW5" s="50" t="s">
        <v>98</v>
      </c>
      <c r="BX5" s="50" t="s">
        <v>53</v>
      </c>
      <c r="BY5" s="50">
        <v>10</v>
      </c>
      <c r="BZ5" s="50"/>
      <c r="CA5" s="50"/>
      <c r="CB5" s="51"/>
      <c r="CC5" s="49" t="s">
        <v>52</v>
      </c>
      <c r="CD5" s="50" t="s">
        <v>98</v>
      </c>
      <c r="CE5" s="50" t="s">
        <v>53</v>
      </c>
      <c r="CF5" s="50">
        <v>11</v>
      </c>
      <c r="CG5" s="50"/>
      <c r="CH5" s="50"/>
      <c r="CI5" s="51"/>
      <c r="CJ5" s="49" t="s">
        <v>52</v>
      </c>
      <c r="CK5" s="50" t="s">
        <v>98</v>
      </c>
      <c r="CL5" s="50" t="s">
        <v>53</v>
      </c>
      <c r="CM5" s="50">
        <v>12</v>
      </c>
      <c r="CN5" s="50"/>
      <c r="CO5" s="50"/>
      <c r="CP5" s="51"/>
      <c r="CQ5" s="49" t="s">
        <v>52</v>
      </c>
      <c r="CR5" s="50" t="s">
        <v>98</v>
      </c>
      <c r="CS5" s="50" t="s">
        <v>53</v>
      </c>
      <c r="CT5" s="50">
        <v>13</v>
      </c>
      <c r="CU5" s="50"/>
      <c r="CV5" s="50"/>
      <c r="CW5" s="51"/>
      <c r="CX5" s="49" t="s">
        <v>52</v>
      </c>
      <c r="CY5" s="50" t="s">
        <v>99</v>
      </c>
      <c r="CZ5" s="50" t="s">
        <v>53</v>
      </c>
      <c r="DA5" s="50">
        <v>14</v>
      </c>
      <c r="DB5" s="50"/>
      <c r="DC5" s="50"/>
      <c r="DD5" s="51"/>
      <c r="DE5" s="49" t="s">
        <v>52</v>
      </c>
      <c r="DF5" s="50" t="s">
        <v>99</v>
      </c>
      <c r="DG5" s="50" t="s">
        <v>53</v>
      </c>
      <c r="DH5" s="50">
        <v>15</v>
      </c>
      <c r="DI5" s="50"/>
      <c r="DJ5" s="50"/>
      <c r="DK5" s="51"/>
      <c r="DL5" s="49" t="s">
        <v>52</v>
      </c>
      <c r="DM5" s="50" t="s">
        <v>99</v>
      </c>
      <c r="DN5" s="50" t="s">
        <v>53</v>
      </c>
      <c r="DO5" s="50">
        <v>16</v>
      </c>
      <c r="DP5" s="50"/>
      <c r="DQ5" s="50"/>
      <c r="DR5" s="51"/>
      <c r="DS5" s="49" t="s">
        <v>52</v>
      </c>
      <c r="DT5" s="50" t="s">
        <v>99</v>
      </c>
      <c r="DU5" s="50" t="s">
        <v>53</v>
      </c>
      <c r="DV5" s="50">
        <v>17</v>
      </c>
      <c r="DW5" s="50"/>
      <c r="DX5" s="50"/>
      <c r="DY5" s="51"/>
      <c r="DZ5" s="49" t="s">
        <v>52</v>
      </c>
      <c r="EA5" s="50" t="s">
        <v>100</v>
      </c>
      <c r="EB5" s="50" t="s">
        <v>53</v>
      </c>
      <c r="EC5" s="50">
        <v>18</v>
      </c>
      <c r="ED5" s="50"/>
      <c r="EE5" s="50"/>
      <c r="EF5" s="51"/>
      <c r="EG5" s="49" t="s">
        <v>52</v>
      </c>
      <c r="EH5" s="50" t="s">
        <v>100</v>
      </c>
      <c r="EI5" s="50" t="s">
        <v>53</v>
      </c>
      <c r="EJ5" s="50">
        <v>19</v>
      </c>
      <c r="EK5" s="50"/>
      <c r="EL5" s="50"/>
      <c r="EM5" s="51"/>
      <c r="EN5" s="49" t="s">
        <v>52</v>
      </c>
      <c r="EO5" s="50" t="s">
        <v>100</v>
      </c>
      <c r="EP5" s="50" t="s">
        <v>53</v>
      </c>
      <c r="EQ5" s="50">
        <v>20</v>
      </c>
      <c r="ER5" s="50"/>
      <c r="ES5" s="50"/>
      <c r="ET5" s="51"/>
      <c r="EU5" s="49" t="s">
        <v>52</v>
      </c>
      <c r="EV5" s="50" t="s">
        <v>100</v>
      </c>
      <c r="EW5" s="50" t="s">
        <v>53</v>
      </c>
      <c r="EX5" s="50">
        <v>21</v>
      </c>
      <c r="EY5" s="50"/>
      <c r="EZ5" s="50"/>
      <c r="FA5" s="51"/>
      <c r="FB5" s="49" t="s">
        <v>52</v>
      </c>
      <c r="FC5" s="50" t="s">
        <v>101</v>
      </c>
      <c r="FD5" s="50" t="s">
        <v>53</v>
      </c>
      <c r="FE5" s="50">
        <v>22</v>
      </c>
      <c r="FF5" s="50"/>
      <c r="FG5" s="50"/>
      <c r="FH5" s="51"/>
      <c r="FI5" s="49" t="s">
        <v>52</v>
      </c>
      <c r="FJ5" s="50" t="s">
        <v>101</v>
      </c>
      <c r="FK5" s="50" t="s">
        <v>53</v>
      </c>
      <c r="FL5" s="50">
        <v>23</v>
      </c>
      <c r="FM5" s="50"/>
      <c r="FN5" s="50"/>
      <c r="FO5" s="51"/>
      <c r="FP5" s="49" t="s">
        <v>52</v>
      </c>
      <c r="FQ5" s="50" t="s">
        <v>101</v>
      </c>
      <c r="FR5" s="50" t="s">
        <v>53</v>
      </c>
      <c r="FS5" s="50">
        <v>24</v>
      </c>
      <c r="FT5" s="50"/>
      <c r="FU5" s="50"/>
      <c r="FV5" s="51"/>
      <c r="FW5" s="49" t="s">
        <v>52</v>
      </c>
      <c r="FX5" s="50" t="s">
        <v>101</v>
      </c>
      <c r="FY5" s="50" t="s">
        <v>53</v>
      </c>
      <c r="FZ5" s="50">
        <v>25</v>
      </c>
      <c r="GA5" s="50"/>
      <c r="GB5" s="50"/>
      <c r="GC5" s="51"/>
      <c r="GD5" s="49" t="s">
        <v>52</v>
      </c>
      <c r="GE5" s="50" t="s">
        <v>101</v>
      </c>
      <c r="GF5" s="50" t="s">
        <v>53</v>
      </c>
      <c r="GG5" s="50">
        <v>26</v>
      </c>
      <c r="GH5" s="50"/>
      <c r="GI5" s="50"/>
      <c r="GJ5" s="51"/>
      <c r="GK5" s="49" t="s">
        <v>52</v>
      </c>
      <c r="GL5" s="50" t="s">
        <v>102</v>
      </c>
      <c r="GM5" s="50" t="s">
        <v>53</v>
      </c>
      <c r="GN5" s="50">
        <v>27</v>
      </c>
      <c r="GO5" s="50"/>
      <c r="GP5" s="50"/>
      <c r="GQ5" s="51"/>
      <c r="GR5" s="49" t="s">
        <v>52</v>
      </c>
      <c r="GS5" s="50" t="s">
        <v>102</v>
      </c>
      <c r="GT5" s="50" t="s">
        <v>53</v>
      </c>
      <c r="GU5" s="50">
        <v>28</v>
      </c>
      <c r="GV5" s="50"/>
      <c r="GW5" s="50"/>
      <c r="GX5" s="51"/>
      <c r="GY5" s="49" t="s">
        <v>52</v>
      </c>
      <c r="GZ5" s="50" t="s">
        <v>102</v>
      </c>
      <c r="HA5" s="50" t="s">
        <v>53</v>
      </c>
      <c r="HB5" s="50">
        <v>29</v>
      </c>
      <c r="HC5" s="50"/>
      <c r="HD5" s="50"/>
      <c r="HE5" s="51"/>
      <c r="HF5" s="49" t="s">
        <v>52</v>
      </c>
      <c r="HG5" s="50" t="s">
        <v>102</v>
      </c>
      <c r="HH5" s="50" t="s">
        <v>53</v>
      </c>
      <c r="HI5" s="50">
        <v>30</v>
      </c>
      <c r="HJ5" s="50"/>
      <c r="HK5" s="50"/>
      <c r="HL5" s="51"/>
      <c r="HM5" s="49" t="s">
        <v>52</v>
      </c>
      <c r="HN5" s="50" t="s">
        <v>103</v>
      </c>
      <c r="HO5" s="50" t="s">
        <v>53</v>
      </c>
      <c r="HP5" s="50">
        <v>31</v>
      </c>
      <c r="HQ5" s="50"/>
      <c r="HR5" s="50"/>
      <c r="HS5" s="51"/>
      <c r="HT5" s="49" t="s">
        <v>52</v>
      </c>
      <c r="HU5" s="50" t="s">
        <v>103</v>
      </c>
      <c r="HV5" s="50" t="s">
        <v>53</v>
      </c>
      <c r="HW5" s="50">
        <v>32</v>
      </c>
      <c r="HX5" s="50"/>
      <c r="HY5" s="50"/>
      <c r="HZ5" s="51"/>
      <c r="IA5" s="49" t="s">
        <v>52</v>
      </c>
      <c r="IB5" s="50" t="s">
        <v>103</v>
      </c>
      <c r="IC5" s="50" t="s">
        <v>53</v>
      </c>
      <c r="ID5" s="50">
        <v>33</v>
      </c>
      <c r="IE5" s="50"/>
      <c r="IF5" s="50"/>
      <c r="IG5" s="51"/>
      <c r="IH5" s="49" t="s">
        <v>52</v>
      </c>
      <c r="II5" s="50" t="s">
        <v>103</v>
      </c>
      <c r="IJ5" s="50" t="s">
        <v>53</v>
      </c>
      <c r="IK5" s="50">
        <v>34</v>
      </c>
      <c r="IL5" s="50"/>
      <c r="IM5" s="50"/>
      <c r="IN5" s="51"/>
      <c r="IO5" s="49" t="s">
        <v>52</v>
      </c>
      <c r="IP5" s="50" t="s">
        <v>103</v>
      </c>
      <c r="IQ5" s="50" t="s">
        <v>53</v>
      </c>
      <c r="IR5" s="50">
        <v>35</v>
      </c>
      <c r="IS5" s="50"/>
      <c r="IT5" s="50"/>
      <c r="IU5" s="51"/>
      <c r="IV5" s="49" t="s">
        <v>52</v>
      </c>
      <c r="IW5" s="50" t="s">
        <v>51</v>
      </c>
      <c r="IX5" s="50" t="s">
        <v>53</v>
      </c>
      <c r="IY5" s="50">
        <v>36</v>
      </c>
      <c r="IZ5" s="50"/>
      <c r="JA5" s="50"/>
      <c r="JB5" s="51"/>
      <c r="JC5" s="49" t="s">
        <v>52</v>
      </c>
      <c r="JD5" s="50" t="s">
        <v>51</v>
      </c>
      <c r="JE5" s="50" t="s">
        <v>53</v>
      </c>
      <c r="JF5" s="50">
        <v>37</v>
      </c>
      <c r="JG5" s="50"/>
      <c r="JH5" s="50"/>
      <c r="JI5" s="51"/>
      <c r="JJ5" s="49" t="s">
        <v>52</v>
      </c>
      <c r="JK5" s="50" t="s">
        <v>51</v>
      </c>
      <c r="JL5" s="50" t="s">
        <v>53</v>
      </c>
      <c r="JM5" s="50">
        <v>38</v>
      </c>
      <c r="JN5" s="50"/>
      <c r="JO5" s="50"/>
      <c r="JP5" s="51"/>
      <c r="JQ5" s="49" t="s">
        <v>52</v>
      </c>
      <c r="JR5" s="50" t="s">
        <v>51</v>
      </c>
      <c r="JS5" s="50" t="s">
        <v>53</v>
      </c>
      <c r="JT5" s="50">
        <v>39</v>
      </c>
      <c r="JU5" s="50"/>
      <c r="JV5" s="50"/>
      <c r="JW5" s="51"/>
      <c r="JX5" s="49" t="s">
        <v>52</v>
      </c>
      <c r="JY5" s="50" t="s">
        <v>54</v>
      </c>
      <c r="JZ5" s="50" t="s">
        <v>53</v>
      </c>
      <c r="KA5" s="50">
        <v>40</v>
      </c>
      <c r="KB5" s="50"/>
      <c r="KC5" s="50"/>
      <c r="KD5" s="51"/>
      <c r="KE5" s="49" t="s">
        <v>52</v>
      </c>
      <c r="KF5" s="50" t="s">
        <v>54</v>
      </c>
      <c r="KG5" s="50" t="s">
        <v>53</v>
      </c>
      <c r="KH5" s="50">
        <v>41</v>
      </c>
      <c r="KI5" s="50"/>
      <c r="KJ5" s="50"/>
      <c r="KK5" s="51"/>
      <c r="KL5" s="49" t="s">
        <v>52</v>
      </c>
      <c r="KM5" s="50" t="s">
        <v>54</v>
      </c>
      <c r="KN5" s="50" t="s">
        <v>53</v>
      </c>
      <c r="KO5" s="50">
        <v>42</v>
      </c>
      <c r="KP5" s="50"/>
      <c r="KQ5" s="50"/>
      <c r="KR5" s="51"/>
      <c r="KS5" s="49" t="s">
        <v>52</v>
      </c>
      <c r="KT5" s="50" t="s">
        <v>54</v>
      </c>
      <c r="KU5" s="50" t="s">
        <v>53</v>
      </c>
      <c r="KV5" s="50">
        <v>43</v>
      </c>
      <c r="KW5" s="50"/>
      <c r="KX5" s="50"/>
      <c r="KY5" s="51"/>
      <c r="KZ5" s="49" t="s">
        <v>52</v>
      </c>
      <c r="LA5" s="50" t="s">
        <v>55</v>
      </c>
      <c r="LB5" s="50" t="s">
        <v>53</v>
      </c>
      <c r="LC5" s="50">
        <v>44</v>
      </c>
      <c r="LD5" s="50"/>
      <c r="LE5" s="50"/>
      <c r="LF5" s="51"/>
      <c r="LG5" s="49" t="s">
        <v>52</v>
      </c>
      <c r="LH5" s="50" t="s">
        <v>55</v>
      </c>
      <c r="LI5" s="50" t="s">
        <v>53</v>
      </c>
      <c r="LJ5" s="50">
        <v>45</v>
      </c>
      <c r="LK5" s="50"/>
      <c r="LL5" s="50"/>
      <c r="LM5" s="51"/>
      <c r="LN5" s="49" t="s">
        <v>52</v>
      </c>
      <c r="LO5" s="50" t="s">
        <v>55</v>
      </c>
      <c r="LP5" s="50" t="s">
        <v>53</v>
      </c>
      <c r="LQ5" s="50">
        <v>46</v>
      </c>
      <c r="LR5" s="50"/>
      <c r="LS5" s="50"/>
      <c r="LT5" s="51"/>
      <c r="LU5" s="49" t="s">
        <v>52</v>
      </c>
      <c r="LV5" s="50" t="s">
        <v>55</v>
      </c>
      <c r="LW5" s="50" t="s">
        <v>53</v>
      </c>
      <c r="LX5" s="50">
        <v>47</v>
      </c>
      <c r="LY5" s="50"/>
      <c r="LZ5" s="50"/>
      <c r="MA5" s="51"/>
      <c r="MB5" s="49" t="s">
        <v>52</v>
      </c>
      <c r="MC5" s="50" t="s">
        <v>55</v>
      </c>
      <c r="MD5" s="50" t="s">
        <v>53</v>
      </c>
      <c r="ME5" s="50">
        <v>48</v>
      </c>
      <c r="MF5" s="50"/>
      <c r="MG5" s="50"/>
      <c r="MH5" s="51"/>
      <c r="MI5" s="49" t="s">
        <v>52</v>
      </c>
      <c r="MJ5" s="50" t="s">
        <v>56</v>
      </c>
      <c r="MK5" s="50" t="s">
        <v>53</v>
      </c>
      <c r="ML5" s="50">
        <v>49</v>
      </c>
      <c r="MM5" s="50"/>
      <c r="MN5" s="50"/>
      <c r="MO5" s="51"/>
      <c r="MP5" s="49" t="s">
        <v>52</v>
      </c>
      <c r="MQ5" s="50"/>
      <c r="MR5" s="50" t="s">
        <v>53</v>
      </c>
      <c r="MS5" s="50">
        <v>50</v>
      </c>
      <c r="MT5" s="50"/>
      <c r="MU5" s="50"/>
      <c r="MV5" s="51"/>
      <c r="MW5" s="49" t="s">
        <v>52</v>
      </c>
      <c r="MX5" s="50"/>
      <c r="MY5" s="50" t="s">
        <v>53</v>
      </c>
      <c r="MZ5" s="50">
        <v>51</v>
      </c>
      <c r="NA5" s="50"/>
      <c r="NB5" s="50"/>
      <c r="NC5" s="51"/>
      <c r="ND5" s="49" t="s">
        <v>52</v>
      </c>
      <c r="NE5" s="50"/>
      <c r="NF5" s="50" t="s">
        <v>53</v>
      </c>
      <c r="NG5" s="50">
        <v>52</v>
      </c>
      <c r="NH5" s="50"/>
      <c r="NI5" s="50"/>
      <c r="NJ5" s="51"/>
      <c r="NK5" s="49" t="s">
        <v>52</v>
      </c>
      <c r="NL5" s="50" t="s">
        <v>96</v>
      </c>
      <c r="NM5" s="50" t="s">
        <v>53</v>
      </c>
      <c r="NN5" s="50">
        <v>1</v>
      </c>
      <c r="NO5" s="50"/>
      <c r="NP5" s="50"/>
      <c r="NQ5" s="51"/>
    </row>
    <row r="6" spans="1:381" s="52" customFormat="1" ht="15" customHeight="1" x14ac:dyDescent="0.15">
      <c r="A6" s="53">
        <v>1</v>
      </c>
      <c r="B6" s="54"/>
      <c r="C6" s="202"/>
      <c r="D6" s="55">
        <v>26</v>
      </c>
      <c r="E6" s="56">
        <v>27</v>
      </c>
      <c r="F6" s="56">
        <v>28</v>
      </c>
      <c r="G6" s="56">
        <v>29</v>
      </c>
      <c r="H6" s="57">
        <v>30</v>
      </c>
      <c r="I6" s="58">
        <v>31</v>
      </c>
      <c r="J6" s="59">
        <v>1</v>
      </c>
      <c r="K6" s="60">
        <v>2</v>
      </c>
      <c r="L6" s="61">
        <v>3</v>
      </c>
      <c r="M6" s="61">
        <v>4</v>
      </c>
      <c r="N6" s="61">
        <v>5</v>
      </c>
      <c r="O6" s="62">
        <v>6</v>
      </c>
      <c r="P6" s="63">
        <v>7</v>
      </c>
      <c r="Q6" s="64">
        <v>8</v>
      </c>
      <c r="R6" s="60">
        <v>9</v>
      </c>
      <c r="S6" s="61">
        <v>10</v>
      </c>
      <c r="T6" s="61">
        <v>11</v>
      </c>
      <c r="U6" s="61">
        <v>12</v>
      </c>
      <c r="V6" s="62">
        <v>13</v>
      </c>
      <c r="W6" s="63">
        <v>14</v>
      </c>
      <c r="X6" s="64">
        <v>15</v>
      </c>
      <c r="Y6" s="60">
        <v>16</v>
      </c>
      <c r="Z6" s="61">
        <v>17</v>
      </c>
      <c r="AA6" s="61">
        <v>18</v>
      </c>
      <c r="AB6" s="61">
        <v>19</v>
      </c>
      <c r="AC6" s="62">
        <v>20</v>
      </c>
      <c r="AD6" s="63">
        <v>21</v>
      </c>
      <c r="AE6" s="64">
        <v>22</v>
      </c>
      <c r="AF6" s="60">
        <v>23</v>
      </c>
      <c r="AG6" s="61">
        <v>24</v>
      </c>
      <c r="AH6" s="61">
        <v>25</v>
      </c>
      <c r="AI6" s="61">
        <v>26</v>
      </c>
      <c r="AJ6" s="62">
        <v>27</v>
      </c>
      <c r="AK6" s="63">
        <v>28</v>
      </c>
      <c r="AL6" s="64">
        <v>29</v>
      </c>
      <c r="AM6" s="60">
        <v>30</v>
      </c>
      <c r="AN6" s="61">
        <v>31</v>
      </c>
      <c r="AO6" s="61">
        <v>1</v>
      </c>
      <c r="AP6" s="61">
        <v>2</v>
      </c>
      <c r="AQ6" s="62">
        <v>3</v>
      </c>
      <c r="AR6" s="63">
        <v>4</v>
      </c>
      <c r="AS6" s="64">
        <v>5</v>
      </c>
      <c r="AT6" s="60">
        <v>6</v>
      </c>
      <c r="AU6" s="61">
        <v>7</v>
      </c>
      <c r="AV6" s="61">
        <v>8</v>
      </c>
      <c r="AW6" s="61">
        <v>9</v>
      </c>
      <c r="AX6" s="62">
        <v>10</v>
      </c>
      <c r="AY6" s="63">
        <v>11</v>
      </c>
      <c r="AZ6" s="64">
        <v>12</v>
      </c>
      <c r="BA6" s="60">
        <v>13</v>
      </c>
      <c r="BB6" s="61">
        <v>14</v>
      </c>
      <c r="BC6" s="61">
        <v>15</v>
      </c>
      <c r="BD6" s="61">
        <v>16</v>
      </c>
      <c r="BE6" s="62">
        <v>17</v>
      </c>
      <c r="BF6" s="63">
        <v>18</v>
      </c>
      <c r="BG6" s="64">
        <v>19</v>
      </c>
      <c r="BH6" s="60">
        <v>20</v>
      </c>
      <c r="BI6" s="61">
        <v>21</v>
      </c>
      <c r="BJ6" s="61">
        <v>22</v>
      </c>
      <c r="BK6" s="61">
        <v>23</v>
      </c>
      <c r="BL6" s="62">
        <v>24</v>
      </c>
      <c r="BM6" s="63">
        <v>25</v>
      </c>
      <c r="BN6" s="64">
        <v>26</v>
      </c>
      <c r="BO6" s="60">
        <v>27</v>
      </c>
      <c r="BP6" s="61">
        <v>28</v>
      </c>
      <c r="BQ6" s="61">
        <v>1</v>
      </c>
      <c r="BR6" s="61">
        <v>2</v>
      </c>
      <c r="BS6" s="62">
        <v>3</v>
      </c>
      <c r="BT6" s="63">
        <v>4</v>
      </c>
      <c r="BU6" s="64">
        <v>5</v>
      </c>
      <c r="BV6" s="60">
        <v>6</v>
      </c>
      <c r="BW6" s="61">
        <v>7</v>
      </c>
      <c r="BX6" s="61">
        <v>8</v>
      </c>
      <c r="BY6" s="61">
        <v>9</v>
      </c>
      <c r="BZ6" s="62">
        <v>10</v>
      </c>
      <c r="CA6" s="63">
        <v>11</v>
      </c>
      <c r="CB6" s="64">
        <v>12</v>
      </c>
      <c r="CC6" s="60">
        <v>13</v>
      </c>
      <c r="CD6" s="61">
        <v>14</v>
      </c>
      <c r="CE6" s="61">
        <v>15</v>
      </c>
      <c r="CF6" s="61">
        <v>16</v>
      </c>
      <c r="CG6" s="62">
        <v>17</v>
      </c>
      <c r="CH6" s="63">
        <v>18</v>
      </c>
      <c r="CI6" s="64">
        <v>19</v>
      </c>
      <c r="CJ6" s="60">
        <v>20</v>
      </c>
      <c r="CK6" s="61">
        <v>21</v>
      </c>
      <c r="CL6" s="61">
        <v>22</v>
      </c>
      <c r="CM6" s="61">
        <v>23</v>
      </c>
      <c r="CN6" s="62">
        <v>24</v>
      </c>
      <c r="CO6" s="63">
        <v>25</v>
      </c>
      <c r="CP6" s="64">
        <v>26</v>
      </c>
      <c r="CQ6" s="60">
        <v>27</v>
      </c>
      <c r="CR6" s="61">
        <v>28</v>
      </c>
      <c r="CS6" s="61">
        <v>29</v>
      </c>
      <c r="CT6" s="61">
        <v>30</v>
      </c>
      <c r="CU6" s="62">
        <v>31</v>
      </c>
      <c r="CV6" s="63">
        <v>1</v>
      </c>
      <c r="CW6" s="64">
        <v>2</v>
      </c>
      <c r="CX6" s="60">
        <v>3</v>
      </c>
      <c r="CY6" s="61">
        <v>4</v>
      </c>
      <c r="CZ6" s="61">
        <v>5</v>
      </c>
      <c r="DA6" s="61">
        <v>6</v>
      </c>
      <c r="DB6" s="62">
        <v>7</v>
      </c>
      <c r="DC6" s="63">
        <v>8</v>
      </c>
      <c r="DD6" s="64">
        <v>9</v>
      </c>
      <c r="DE6" s="60">
        <v>10</v>
      </c>
      <c r="DF6" s="61">
        <v>11</v>
      </c>
      <c r="DG6" s="61">
        <v>12</v>
      </c>
      <c r="DH6" s="61">
        <v>13</v>
      </c>
      <c r="DI6" s="62">
        <v>14</v>
      </c>
      <c r="DJ6" s="63">
        <v>15</v>
      </c>
      <c r="DK6" s="64">
        <v>16</v>
      </c>
      <c r="DL6" s="60">
        <v>17</v>
      </c>
      <c r="DM6" s="61">
        <v>18</v>
      </c>
      <c r="DN6" s="61">
        <v>19</v>
      </c>
      <c r="DO6" s="61">
        <v>20</v>
      </c>
      <c r="DP6" s="62">
        <v>21</v>
      </c>
      <c r="DQ6" s="63">
        <v>22</v>
      </c>
      <c r="DR6" s="64">
        <v>23</v>
      </c>
      <c r="DS6" s="60">
        <v>24</v>
      </c>
      <c r="DT6" s="61">
        <v>25</v>
      </c>
      <c r="DU6" s="61">
        <v>26</v>
      </c>
      <c r="DV6" s="61">
        <v>27</v>
      </c>
      <c r="DW6" s="62">
        <v>28</v>
      </c>
      <c r="DX6" s="63">
        <v>29</v>
      </c>
      <c r="DY6" s="64">
        <v>30</v>
      </c>
      <c r="DZ6" s="60">
        <v>1</v>
      </c>
      <c r="EA6" s="61">
        <v>2</v>
      </c>
      <c r="EB6" s="61">
        <v>3</v>
      </c>
      <c r="EC6" s="61">
        <v>4</v>
      </c>
      <c r="ED6" s="62">
        <v>5</v>
      </c>
      <c r="EE6" s="63">
        <v>6</v>
      </c>
      <c r="EF6" s="64">
        <v>7</v>
      </c>
      <c r="EG6" s="60">
        <v>8</v>
      </c>
      <c r="EH6" s="61">
        <v>9</v>
      </c>
      <c r="EI6" s="61">
        <v>10</v>
      </c>
      <c r="EJ6" s="61">
        <v>11</v>
      </c>
      <c r="EK6" s="62">
        <v>12</v>
      </c>
      <c r="EL6" s="63">
        <v>13</v>
      </c>
      <c r="EM6" s="64">
        <v>14</v>
      </c>
      <c r="EN6" s="60">
        <v>15</v>
      </c>
      <c r="EO6" s="61">
        <v>16</v>
      </c>
      <c r="EP6" s="61">
        <v>17</v>
      </c>
      <c r="EQ6" s="61">
        <v>18</v>
      </c>
      <c r="ER6" s="62">
        <v>19</v>
      </c>
      <c r="ES6" s="63">
        <v>20</v>
      </c>
      <c r="ET6" s="64">
        <v>21</v>
      </c>
      <c r="EU6" s="60">
        <v>22</v>
      </c>
      <c r="EV6" s="61">
        <v>23</v>
      </c>
      <c r="EW6" s="61">
        <v>24</v>
      </c>
      <c r="EX6" s="61">
        <v>25</v>
      </c>
      <c r="EY6" s="62">
        <v>26</v>
      </c>
      <c r="EZ6" s="63">
        <v>27</v>
      </c>
      <c r="FA6" s="64">
        <v>28</v>
      </c>
      <c r="FB6" s="60">
        <v>29</v>
      </c>
      <c r="FC6" s="61">
        <v>30</v>
      </c>
      <c r="FD6" s="61">
        <v>31</v>
      </c>
      <c r="FE6" s="61">
        <v>1</v>
      </c>
      <c r="FF6" s="62">
        <v>2</v>
      </c>
      <c r="FG6" s="63">
        <v>3</v>
      </c>
      <c r="FH6" s="64">
        <v>4</v>
      </c>
      <c r="FI6" s="60">
        <v>5</v>
      </c>
      <c r="FJ6" s="61">
        <v>6</v>
      </c>
      <c r="FK6" s="61">
        <v>7</v>
      </c>
      <c r="FL6" s="61">
        <v>8</v>
      </c>
      <c r="FM6" s="62">
        <v>9</v>
      </c>
      <c r="FN6" s="63">
        <v>10</v>
      </c>
      <c r="FO6" s="64">
        <v>11</v>
      </c>
      <c r="FP6" s="60">
        <v>12</v>
      </c>
      <c r="FQ6" s="61">
        <v>13</v>
      </c>
      <c r="FR6" s="61">
        <v>14</v>
      </c>
      <c r="FS6" s="61">
        <v>15</v>
      </c>
      <c r="FT6" s="62">
        <v>16</v>
      </c>
      <c r="FU6" s="63">
        <v>17</v>
      </c>
      <c r="FV6" s="64">
        <v>18</v>
      </c>
      <c r="FW6" s="60">
        <v>19</v>
      </c>
      <c r="FX6" s="61">
        <v>20</v>
      </c>
      <c r="FY6" s="61">
        <v>21</v>
      </c>
      <c r="FZ6" s="61">
        <v>22</v>
      </c>
      <c r="GA6" s="62">
        <v>23</v>
      </c>
      <c r="GB6" s="63">
        <v>24</v>
      </c>
      <c r="GC6" s="64">
        <v>25</v>
      </c>
      <c r="GD6" s="60">
        <v>26</v>
      </c>
      <c r="GE6" s="61">
        <v>27</v>
      </c>
      <c r="GF6" s="61">
        <v>28</v>
      </c>
      <c r="GG6" s="61">
        <v>29</v>
      </c>
      <c r="GH6" s="62">
        <v>30</v>
      </c>
      <c r="GI6" s="63">
        <v>1</v>
      </c>
      <c r="GJ6" s="64">
        <v>2</v>
      </c>
      <c r="GK6" s="60">
        <v>3</v>
      </c>
      <c r="GL6" s="61">
        <v>4</v>
      </c>
      <c r="GM6" s="61">
        <v>5</v>
      </c>
      <c r="GN6" s="61">
        <v>6</v>
      </c>
      <c r="GO6" s="62">
        <v>7</v>
      </c>
      <c r="GP6" s="63">
        <v>8</v>
      </c>
      <c r="GQ6" s="64">
        <v>9</v>
      </c>
      <c r="GR6" s="60">
        <v>10</v>
      </c>
      <c r="GS6" s="61">
        <v>11</v>
      </c>
      <c r="GT6" s="61">
        <v>12</v>
      </c>
      <c r="GU6" s="61">
        <v>13</v>
      </c>
      <c r="GV6" s="62">
        <v>14</v>
      </c>
      <c r="GW6" s="63">
        <v>15</v>
      </c>
      <c r="GX6" s="64">
        <v>16</v>
      </c>
      <c r="GY6" s="60">
        <v>17</v>
      </c>
      <c r="GZ6" s="61">
        <v>18</v>
      </c>
      <c r="HA6" s="61">
        <v>19</v>
      </c>
      <c r="HB6" s="61">
        <v>20</v>
      </c>
      <c r="HC6" s="62">
        <v>21</v>
      </c>
      <c r="HD6" s="63">
        <v>22</v>
      </c>
      <c r="HE6" s="64">
        <v>23</v>
      </c>
      <c r="HF6" s="60">
        <v>24</v>
      </c>
      <c r="HG6" s="61">
        <v>25</v>
      </c>
      <c r="HH6" s="61">
        <v>26</v>
      </c>
      <c r="HI6" s="61">
        <v>27</v>
      </c>
      <c r="HJ6" s="62">
        <v>28</v>
      </c>
      <c r="HK6" s="63">
        <v>29</v>
      </c>
      <c r="HL6" s="64">
        <v>30</v>
      </c>
      <c r="HM6" s="60">
        <v>31</v>
      </c>
      <c r="HN6" s="61">
        <v>1</v>
      </c>
      <c r="HO6" s="61">
        <v>2</v>
      </c>
      <c r="HP6" s="61">
        <v>3</v>
      </c>
      <c r="HQ6" s="62">
        <v>4</v>
      </c>
      <c r="HR6" s="63">
        <v>5</v>
      </c>
      <c r="HS6" s="64">
        <v>6</v>
      </c>
      <c r="HT6" s="60">
        <v>7</v>
      </c>
      <c r="HU6" s="61">
        <v>8</v>
      </c>
      <c r="HV6" s="61">
        <v>9</v>
      </c>
      <c r="HW6" s="61">
        <v>10</v>
      </c>
      <c r="HX6" s="62">
        <v>11</v>
      </c>
      <c r="HY6" s="63">
        <v>12</v>
      </c>
      <c r="HZ6" s="64">
        <v>13</v>
      </c>
      <c r="IA6" s="60">
        <v>14</v>
      </c>
      <c r="IB6" s="61">
        <v>15</v>
      </c>
      <c r="IC6" s="61">
        <v>16</v>
      </c>
      <c r="ID6" s="61">
        <v>17</v>
      </c>
      <c r="IE6" s="62">
        <v>18</v>
      </c>
      <c r="IF6" s="63">
        <v>19</v>
      </c>
      <c r="IG6" s="64">
        <v>20</v>
      </c>
      <c r="IH6" s="60">
        <v>21</v>
      </c>
      <c r="II6" s="61">
        <v>22</v>
      </c>
      <c r="IJ6" s="61">
        <v>23</v>
      </c>
      <c r="IK6" s="61">
        <v>24</v>
      </c>
      <c r="IL6" s="62">
        <v>25</v>
      </c>
      <c r="IM6" s="63">
        <v>26</v>
      </c>
      <c r="IN6" s="64">
        <v>27</v>
      </c>
      <c r="IO6" s="60">
        <v>28</v>
      </c>
      <c r="IP6" s="61">
        <v>29</v>
      </c>
      <c r="IQ6" s="61">
        <v>30</v>
      </c>
      <c r="IR6" s="61">
        <v>31</v>
      </c>
      <c r="IS6" s="62">
        <v>1</v>
      </c>
      <c r="IT6" s="63">
        <v>2</v>
      </c>
      <c r="IU6" s="64">
        <v>3</v>
      </c>
      <c r="IV6" s="60">
        <v>4</v>
      </c>
      <c r="IW6" s="61">
        <v>5</v>
      </c>
      <c r="IX6" s="61">
        <v>6</v>
      </c>
      <c r="IY6" s="61">
        <v>7</v>
      </c>
      <c r="IZ6" s="62">
        <v>8</v>
      </c>
      <c r="JA6" s="63">
        <v>9</v>
      </c>
      <c r="JB6" s="64">
        <v>10</v>
      </c>
      <c r="JC6" s="60">
        <v>11</v>
      </c>
      <c r="JD6" s="61">
        <v>12</v>
      </c>
      <c r="JE6" s="61">
        <v>13</v>
      </c>
      <c r="JF6" s="61">
        <v>14</v>
      </c>
      <c r="JG6" s="62">
        <v>15</v>
      </c>
      <c r="JH6" s="63">
        <v>16</v>
      </c>
      <c r="JI6" s="64">
        <v>17</v>
      </c>
      <c r="JJ6" s="60">
        <v>18</v>
      </c>
      <c r="JK6" s="61">
        <v>19</v>
      </c>
      <c r="JL6" s="61">
        <v>20</v>
      </c>
      <c r="JM6" s="61">
        <v>21</v>
      </c>
      <c r="JN6" s="62">
        <v>22</v>
      </c>
      <c r="JO6" s="63">
        <v>23</v>
      </c>
      <c r="JP6" s="64">
        <v>24</v>
      </c>
      <c r="JQ6" s="60">
        <v>25</v>
      </c>
      <c r="JR6" s="61">
        <v>26</v>
      </c>
      <c r="JS6" s="61">
        <v>27</v>
      </c>
      <c r="JT6" s="61">
        <v>28</v>
      </c>
      <c r="JU6" s="62">
        <v>29</v>
      </c>
      <c r="JV6" s="63">
        <v>30</v>
      </c>
      <c r="JW6" s="64">
        <v>1</v>
      </c>
      <c r="JX6" s="60">
        <v>2</v>
      </c>
      <c r="JY6" s="61">
        <v>3</v>
      </c>
      <c r="JZ6" s="61">
        <v>4</v>
      </c>
      <c r="KA6" s="61">
        <v>5</v>
      </c>
      <c r="KB6" s="62">
        <v>6</v>
      </c>
      <c r="KC6" s="63">
        <v>7</v>
      </c>
      <c r="KD6" s="64">
        <v>8</v>
      </c>
      <c r="KE6" s="60">
        <v>9</v>
      </c>
      <c r="KF6" s="61">
        <v>10</v>
      </c>
      <c r="KG6" s="61">
        <v>11</v>
      </c>
      <c r="KH6" s="61">
        <v>2</v>
      </c>
      <c r="KI6" s="62">
        <v>13</v>
      </c>
      <c r="KJ6" s="63">
        <v>14</v>
      </c>
      <c r="KK6" s="64">
        <v>15</v>
      </c>
      <c r="KL6" s="60">
        <v>16</v>
      </c>
      <c r="KM6" s="61">
        <v>17</v>
      </c>
      <c r="KN6" s="61">
        <v>18</v>
      </c>
      <c r="KO6" s="61">
        <v>19</v>
      </c>
      <c r="KP6" s="62">
        <v>20</v>
      </c>
      <c r="KQ6" s="63">
        <v>21</v>
      </c>
      <c r="KR6" s="64">
        <v>22</v>
      </c>
      <c r="KS6" s="60">
        <v>23</v>
      </c>
      <c r="KT6" s="61">
        <v>24</v>
      </c>
      <c r="KU6" s="61">
        <v>25</v>
      </c>
      <c r="KV6" s="61">
        <v>26</v>
      </c>
      <c r="KW6" s="62">
        <v>27</v>
      </c>
      <c r="KX6" s="63">
        <v>28</v>
      </c>
      <c r="KY6" s="64">
        <v>29</v>
      </c>
      <c r="KZ6" s="60">
        <v>30</v>
      </c>
      <c r="LA6" s="61">
        <v>31</v>
      </c>
      <c r="LB6" s="61">
        <v>1</v>
      </c>
      <c r="LC6" s="61">
        <v>2</v>
      </c>
      <c r="LD6" s="62">
        <v>3</v>
      </c>
      <c r="LE6" s="63">
        <v>4</v>
      </c>
      <c r="LF6" s="64">
        <v>5</v>
      </c>
      <c r="LG6" s="60">
        <v>6</v>
      </c>
      <c r="LH6" s="61">
        <v>7</v>
      </c>
      <c r="LI6" s="61">
        <v>8</v>
      </c>
      <c r="LJ6" s="61">
        <v>9</v>
      </c>
      <c r="LK6" s="62">
        <v>10</v>
      </c>
      <c r="LL6" s="63">
        <v>11</v>
      </c>
      <c r="LM6" s="64">
        <v>12</v>
      </c>
      <c r="LN6" s="60">
        <v>13</v>
      </c>
      <c r="LO6" s="61">
        <v>14</v>
      </c>
      <c r="LP6" s="61">
        <v>15</v>
      </c>
      <c r="LQ6" s="61">
        <v>16</v>
      </c>
      <c r="LR6" s="62">
        <v>17</v>
      </c>
      <c r="LS6" s="63">
        <v>18</v>
      </c>
      <c r="LT6" s="64">
        <v>19</v>
      </c>
      <c r="LU6" s="60">
        <v>20</v>
      </c>
      <c r="LV6" s="61">
        <v>21</v>
      </c>
      <c r="LW6" s="61">
        <v>22</v>
      </c>
      <c r="LX6" s="61">
        <v>23</v>
      </c>
      <c r="LY6" s="62">
        <v>24</v>
      </c>
      <c r="LZ6" s="63">
        <v>25</v>
      </c>
      <c r="MA6" s="64">
        <v>26</v>
      </c>
      <c r="MB6" s="60">
        <v>27</v>
      </c>
      <c r="MC6" s="61">
        <v>28</v>
      </c>
      <c r="MD6" s="61">
        <v>29</v>
      </c>
      <c r="ME6" s="61">
        <v>30</v>
      </c>
      <c r="MF6" s="62">
        <v>1</v>
      </c>
      <c r="MG6" s="63">
        <v>2</v>
      </c>
      <c r="MH6" s="64">
        <v>3</v>
      </c>
      <c r="MI6" s="60">
        <v>4</v>
      </c>
      <c r="MJ6" s="61">
        <v>5</v>
      </c>
      <c r="MK6" s="61">
        <v>6</v>
      </c>
      <c r="ML6" s="61">
        <v>7</v>
      </c>
      <c r="MM6" s="62">
        <v>8</v>
      </c>
      <c r="MN6" s="63">
        <v>9</v>
      </c>
      <c r="MO6" s="64">
        <v>10</v>
      </c>
      <c r="MP6" s="60">
        <v>11</v>
      </c>
      <c r="MQ6" s="61">
        <v>12</v>
      </c>
      <c r="MR6" s="61">
        <v>13</v>
      </c>
      <c r="MS6" s="61">
        <v>14</v>
      </c>
      <c r="MT6" s="62">
        <v>15</v>
      </c>
      <c r="MU6" s="63">
        <v>16</v>
      </c>
      <c r="MV6" s="64">
        <v>17</v>
      </c>
      <c r="MW6" s="60">
        <v>18</v>
      </c>
      <c r="MX6" s="61">
        <v>19</v>
      </c>
      <c r="MY6" s="61">
        <v>20</v>
      </c>
      <c r="MZ6" s="61">
        <v>21</v>
      </c>
      <c r="NA6" s="62">
        <v>22</v>
      </c>
      <c r="NB6" s="63">
        <v>23</v>
      </c>
      <c r="NC6" s="64">
        <v>24</v>
      </c>
      <c r="ND6" s="60">
        <v>25</v>
      </c>
      <c r="NE6" s="61">
        <v>26</v>
      </c>
      <c r="NF6" s="61">
        <v>27</v>
      </c>
      <c r="NG6" s="61">
        <v>28</v>
      </c>
      <c r="NH6" s="62">
        <v>29</v>
      </c>
      <c r="NI6" s="63">
        <v>30</v>
      </c>
      <c r="NJ6" s="64">
        <v>31</v>
      </c>
      <c r="NK6" s="60">
        <v>1</v>
      </c>
      <c r="NL6" s="61">
        <v>2</v>
      </c>
      <c r="NM6" s="61">
        <v>3</v>
      </c>
      <c r="NN6" s="61">
        <v>4</v>
      </c>
      <c r="NO6" s="62">
        <v>5</v>
      </c>
      <c r="NP6" s="63">
        <v>6</v>
      </c>
      <c r="NQ6" s="64">
        <v>7</v>
      </c>
    </row>
    <row r="7" spans="1:381" s="52" customFormat="1" ht="15" customHeight="1" thickBot="1" x14ac:dyDescent="0.2">
      <c r="A7" s="65">
        <v>2</v>
      </c>
      <c r="B7" s="54"/>
      <c r="C7" s="203"/>
      <c r="D7" s="66" t="s">
        <v>43</v>
      </c>
      <c r="E7" s="67" t="s">
        <v>44</v>
      </c>
      <c r="F7" s="67" t="s">
        <v>45</v>
      </c>
      <c r="G7" s="67" t="s">
        <v>46</v>
      </c>
      <c r="H7" s="68" t="s">
        <v>47</v>
      </c>
      <c r="I7" s="69" t="s">
        <v>48</v>
      </c>
      <c r="J7" s="70" t="s">
        <v>49</v>
      </c>
      <c r="K7" s="71" t="s">
        <v>43</v>
      </c>
      <c r="L7" s="72" t="s">
        <v>44</v>
      </c>
      <c r="M7" s="72" t="s">
        <v>45</v>
      </c>
      <c r="N7" s="72" t="s">
        <v>46</v>
      </c>
      <c r="O7" s="73" t="s">
        <v>47</v>
      </c>
      <c r="P7" s="74" t="s">
        <v>48</v>
      </c>
      <c r="Q7" s="75" t="s">
        <v>49</v>
      </c>
      <c r="R7" s="71" t="s">
        <v>43</v>
      </c>
      <c r="S7" s="72" t="s">
        <v>44</v>
      </c>
      <c r="T7" s="72" t="s">
        <v>45</v>
      </c>
      <c r="U7" s="72" t="s">
        <v>46</v>
      </c>
      <c r="V7" s="73" t="s">
        <v>47</v>
      </c>
      <c r="W7" s="74" t="s">
        <v>48</v>
      </c>
      <c r="X7" s="75" t="s">
        <v>49</v>
      </c>
      <c r="Y7" s="71" t="s">
        <v>43</v>
      </c>
      <c r="Z7" s="72" t="s">
        <v>44</v>
      </c>
      <c r="AA7" s="72" t="s">
        <v>45</v>
      </c>
      <c r="AB7" s="72" t="s">
        <v>46</v>
      </c>
      <c r="AC7" s="73" t="s">
        <v>47</v>
      </c>
      <c r="AD7" s="74" t="s">
        <v>48</v>
      </c>
      <c r="AE7" s="75" t="s">
        <v>49</v>
      </c>
      <c r="AF7" s="71" t="s">
        <v>43</v>
      </c>
      <c r="AG7" s="72" t="s">
        <v>44</v>
      </c>
      <c r="AH7" s="72" t="s">
        <v>45</v>
      </c>
      <c r="AI7" s="72" t="s">
        <v>46</v>
      </c>
      <c r="AJ7" s="73" t="s">
        <v>47</v>
      </c>
      <c r="AK7" s="74" t="s">
        <v>48</v>
      </c>
      <c r="AL7" s="75" t="s">
        <v>49</v>
      </c>
      <c r="AM7" s="71" t="s">
        <v>43</v>
      </c>
      <c r="AN7" s="72" t="s">
        <v>44</v>
      </c>
      <c r="AO7" s="72" t="s">
        <v>45</v>
      </c>
      <c r="AP7" s="72" t="s">
        <v>46</v>
      </c>
      <c r="AQ7" s="73" t="s">
        <v>47</v>
      </c>
      <c r="AR7" s="74" t="s">
        <v>48</v>
      </c>
      <c r="AS7" s="75" t="s">
        <v>49</v>
      </c>
      <c r="AT7" s="71" t="s">
        <v>43</v>
      </c>
      <c r="AU7" s="72" t="s">
        <v>44</v>
      </c>
      <c r="AV7" s="72" t="s">
        <v>45</v>
      </c>
      <c r="AW7" s="72" t="s">
        <v>46</v>
      </c>
      <c r="AX7" s="73" t="s">
        <v>47</v>
      </c>
      <c r="AY7" s="74" t="s">
        <v>48</v>
      </c>
      <c r="AZ7" s="75" t="s">
        <v>49</v>
      </c>
      <c r="BA7" s="71" t="s">
        <v>43</v>
      </c>
      <c r="BB7" s="72" t="s">
        <v>44</v>
      </c>
      <c r="BC7" s="72" t="s">
        <v>45</v>
      </c>
      <c r="BD7" s="72" t="s">
        <v>46</v>
      </c>
      <c r="BE7" s="73" t="s">
        <v>47</v>
      </c>
      <c r="BF7" s="74" t="s">
        <v>48</v>
      </c>
      <c r="BG7" s="75" t="s">
        <v>49</v>
      </c>
      <c r="BH7" s="71" t="s">
        <v>43</v>
      </c>
      <c r="BI7" s="72" t="s">
        <v>44</v>
      </c>
      <c r="BJ7" s="72" t="s">
        <v>45</v>
      </c>
      <c r="BK7" s="72" t="s">
        <v>46</v>
      </c>
      <c r="BL7" s="73" t="s">
        <v>47</v>
      </c>
      <c r="BM7" s="74" t="s">
        <v>48</v>
      </c>
      <c r="BN7" s="75" t="s">
        <v>49</v>
      </c>
      <c r="BO7" s="71" t="s">
        <v>43</v>
      </c>
      <c r="BP7" s="72" t="s">
        <v>44</v>
      </c>
      <c r="BQ7" s="72" t="s">
        <v>45</v>
      </c>
      <c r="BR7" s="72" t="s">
        <v>46</v>
      </c>
      <c r="BS7" s="73" t="s">
        <v>47</v>
      </c>
      <c r="BT7" s="74" t="s">
        <v>48</v>
      </c>
      <c r="BU7" s="75" t="s">
        <v>49</v>
      </c>
      <c r="BV7" s="71" t="s">
        <v>43</v>
      </c>
      <c r="BW7" s="72" t="s">
        <v>44</v>
      </c>
      <c r="BX7" s="72" t="s">
        <v>45</v>
      </c>
      <c r="BY7" s="72" t="s">
        <v>46</v>
      </c>
      <c r="BZ7" s="73" t="s">
        <v>47</v>
      </c>
      <c r="CA7" s="74" t="s">
        <v>48</v>
      </c>
      <c r="CB7" s="75" t="s">
        <v>49</v>
      </c>
      <c r="CC7" s="71" t="s">
        <v>43</v>
      </c>
      <c r="CD7" s="72" t="s">
        <v>44</v>
      </c>
      <c r="CE7" s="72" t="s">
        <v>45</v>
      </c>
      <c r="CF7" s="72" t="s">
        <v>46</v>
      </c>
      <c r="CG7" s="73" t="s">
        <v>47</v>
      </c>
      <c r="CH7" s="74" t="s">
        <v>48</v>
      </c>
      <c r="CI7" s="75" t="s">
        <v>49</v>
      </c>
      <c r="CJ7" s="71" t="s">
        <v>43</v>
      </c>
      <c r="CK7" s="72" t="s">
        <v>44</v>
      </c>
      <c r="CL7" s="72" t="s">
        <v>45</v>
      </c>
      <c r="CM7" s="72" t="s">
        <v>46</v>
      </c>
      <c r="CN7" s="73" t="s">
        <v>47</v>
      </c>
      <c r="CO7" s="74" t="s">
        <v>48</v>
      </c>
      <c r="CP7" s="75" t="s">
        <v>49</v>
      </c>
      <c r="CQ7" s="71" t="s">
        <v>43</v>
      </c>
      <c r="CR7" s="72" t="s">
        <v>44</v>
      </c>
      <c r="CS7" s="72" t="s">
        <v>45</v>
      </c>
      <c r="CT7" s="72" t="s">
        <v>46</v>
      </c>
      <c r="CU7" s="73" t="s">
        <v>47</v>
      </c>
      <c r="CV7" s="74" t="s">
        <v>48</v>
      </c>
      <c r="CW7" s="75" t="s">
        <v>49</v>
      </c>
      <c r="CX7" s="71" t="s">
        <v>43</v>
      </c>
      <c r="CY7" s="72" t="s">
        <v>44</v>
      </c>
      <c r="CZ7" s="72" t="s">
        <v>45</v>
      </c>
      <c r="DA7" s="72" t="s">
        <v>46</v>
      </c>
      <c r="DB7" s="73" t="s">
        <v>47</v>
      </c>
      <c r="DC7" s="74" t="s">
        <v>48</v>
      </c>
      <c r="DD7" s="75" t="s">
        <v>49</v>
      </c>
      <c r="DE7" s="71" t="s">
        <v>43</v>
      </c>
      <c r="DF7" s="72" t="s">
        <v>44</v>
      </c>
      <c r="DG7" s="72" t="s">
        <v>45</v>
      </c>
      <c r="DH7" s="72" t="s">
        <v>46</v>
      </c>
      <c r="DI7" s="73" t="s">
        <v>47</v>
      </c>
      <c r="DJ7" s="74" t="s">
        <v>48</v>
      </c>
      <c r="DK7" s="75" t="s">
        <v>49</v>
      </c>
      <c r="DL7" s="71" t="s">
        <v>43</v>
      </c>
      <c r="DM7" s="72" t="s">
        <v>44</v>
      </c>
      <c r="DN7" s="72" t="s">
        <v>45</v>
      </c>
      <c r="DO7" s="72" t="s">
        <v>46</v>
      </c>
      <c r="DP7" s="73" t="s">
        <v>47</v>
      </c>
      <c r="DQ7" s="74" t="s">
        <v>48</v>
      </c>
      <c r="DR7" s="75" t="s">
        <v>49</v>
      </c>
      <c r="DS7" s="71" t="s">
        <v>43</v>
      </c>
      <c r="DT7" s="72" t="s">
        <v>44</v>
      </c>
      <c r="DU7" s="72" t="s">
        <v>45</v>
      </c>
      <c r="DV7" s="72" t="s">
        <v>46</v>
      </c>
      <c r="DW7" s="73" t="s">
        <v>47</v>
      </c>
      <c r="DX7" s="74" t="s">
        <v>48</v>
      </c>
      <c r="DY7" s="75" t="s">
        <v>49</v>
      </c>
      <c r="DZ7" s="71" t="s">
        <v>43</v>
      </c>
      <c r="EA7" s="72" t="s">
        <v>44</v>
      </c>
      <c r="EB7" s="72" t="s">
        <v>45</v>
      </c>
      <c r="EC7" s="72" t="s">
        <v>46</v>
      </c>
      <c r="ED7" s="73" t="s">
        <v>47</v>
      </c>
      <c r="EE7" s="74" t="s">
        <v>48</v>
      </c>
      <c r="EF7" s="75" t="s">
        <v>49</v>
      </c>
      <c r="EG7" s="71" t="s">
        <v>43</v>
      </c>
      <c r="EH7" s="72" t="s">
        <v>44</v>
      </c>
      <c r="EI7" s="72" t="s">
        <v>45</v>
      </c>
      <c r="EJ7" s="72" t="s">
        <v>46</v>
      </c>
      <c r="EK7" s="73" t="s">
        <v>47</v>
      </c>
      <c r="EL7" s="74" t="s">
        <v>48</v>
      </c>
      <c r="EM7" s="75" t="s">
        <v>49</v>
      </c>
      <c r="EN7" s="71" t="s">
        <v>43</v>
      </c>
      <c r="EO7" s="72" t="s">
        <v>44</v>
      </c>
      <c r="EP7" s="72" t="s">
        <v>45</v>
      </c>
      <c r="EQ7" s="72" t="s">
        <v>46</v>
      </c>
      <c r="ER7" s="73" t="s">
        <v>47</v>
      </c>
      <c r="ES7" s="74" t="s">
        <v>48</v>
      </c>
      <c r="ET7" s="75" t="s">
        <v>49</v>
      </c>
      <c r="EU7" s="71" t="s">
        <v>43</v>
      </c>
      <c r="EV7" s="72" t="s">
        <v>44</v>
      </c>
      <c r="EW7" s="72" t="s">
        <v>45</v>
      </c>
      <c r="EX7" s="72" t="s">
        <v>46</v>
      </c>
      <c r="EY7" s="73" t="s">
        <v>47</v>
      </c>
      <c r="EZ7" s="74" t="s">
        <v>48</v>
      </c>
      <c r="FA7" s="75" t="s">
        <v>49</v>
      </c>
      <c r="FB7" s="71" t="s">
        <v>43</v>
      </c>
      <c r="FC7" s="72" t="s">
        <v>44</v>
      </c>
      <c r="FD7" s="72" t="s">
        <v>45</v>
      </c>
      <c r="FE7" s="72" t="s">
        <v>46</v>
      </c>
      <c r="FF7" s="73" t="s">
        <v>47</v>
      </c>
      <c r="FG7" s="74" t="s">
        <v>48</v>
      </c>
      <c r="FH7" s="75" t="s">
        <v>49</v>
      </c>
      <c r="FI7" s="71" t="s">
        <v>43</v>
      </c>
      <c r="FJ7" s="72" t="s">
        <v>44</v>
      </c>
      <c r="FK7" s="72" t="s">
        <v>45</v>
      </c>
      <c r="FL7" s="72" t="s">
        <v>46</v>
      </c>
      <c r="FM7" s="73" t="s">
        <v>47</v>
      </c>
      <c r="FN7" s="74" t="s">
        <v>48</v>
      </c>
      <c r="FO7" s="75" t="s">
        <v>49</v>
      </c>
      <c r="FP7" s="71" t="s">
        <v>43</v>
      </c>
      <c r="FQ7" s="72" t="s">
        <v>44</v>
      </c>
      <c r="FR7" s="72" t="s">
        <v>45</v>
      </c>
      <c r="FS7" s="72" t="s">
        <v>46</v>
      </c>
      <c r="FT7" s="73" t="s">
        <v>47</v>
      </c>
      <c r="FU7" s="74" t="s">
        <v>48</v>
      </c>
      <c r="FV7" s="75" t="s">
        <v>49</v>
      </c>
      <c r="FW7" s="71" t="s">
        <v>43</v>
      </c>
      <c r="FX7" s="72" t="s">
        <v>44</v>
      </c>
      <c r="FY7" s="72" t="s">
        <v>45</v>
      </c>
      <c r="FZ7" s="72" t="s">
        <v>46</v>
      </c>
      <c r="GA7" s="73" t="s">
        <v>47</v>
      </c>
      <c r="GB7" s="74" t="s">
        <v>48</v>
      </c>
      <c r="GC7" s="75" t="s">
        <v>49</v>
      </c>
      <c r="GD7" s="71" t="s">
        <v>43</v>
      </c>
      <c r="GE7" s="72" t="s">
        <v>44</v>
      </c>
      <c r="GF7" s="72" t="s">
        <v>45</v>
      </c>
      <c r="GG7" s="72" t="s">
        <v>46</v>
      </c>
      <c r="GH7" s="73" t="s">
        <v>47</v>
      </c>
      <c r="GI7" s="74" t="s">
        <v>48</v>
      </c>
      <c r="GJ7" s="75" t="s">
        <v>49</v>
      </c>
      <c r="GK7" s="71" t="s">
        <v>43</v>
      </c>
      <c r="GL7" s="72" t="s">
        <v>44</v>
      </c>
      <c r="GM7" s="72" t="s">
        <v>45</v>
      </c>
      <c r="GN7" s="72" t="s">
        <v>46</v>
      </c>
      <c r="GO7" s="73" t="s">
        <v>47</v>
      </c>
      <c r="GP7" s="74" t="s">
        <v>48</v>
      </c>
      <c r="GQ7" s="75" t="s">
        <v>49</v>
      </c>
      <c r="GR7" s="71" t="s">
        <v>43</v>
      </c>
      <c r="GS7" s="72" t="s">
        <v>44</v>
      </c>
      <c r="GT7" s="72" t="s">
        <v>45</v>
      </c>
      <c r="GU7" s="72" t="s">
        <v>46</v>
      </c>
      <c r="GV7" s="73" t="s">
        <v>47</v>
      </c>
      <c r="GW7" s="74" t="s">
        <v>48</v>
      </c>
      <c r="GX7" s="75" t="s">
        <v>49</v>
      </c>
      <c r="GY7" s="71" t="s">
        <v>43</v>
      </c>
      <c r="GZ7" s="72" t="s">
        <v>44</v>
      </c>
      <c r="HA7" s="72" t="s">
        <v>45</v>
      </c>
      <c r="HB7" s="72" t="s">
        <v>46</v>
      </c>
      <c r="HC7" s="73" t="s">
        <v>47</v>
      </c>
      <c r="HD7" s="74" t="s">
        <v>48</v>
      </c>
      <c r="HE7" s="75" t="s">
        <v>49</v>
      </c>
      <c r="HF7" s="71" t="s">
        <v>43</v>
      </c>
      <c r="HG7" s="72" t="s">
        <v>44</v>
      </c>
      <c r="HH7" s="72" t="s">
        <v>45</v>
      </c>
      <c r="HI7" s="72" t="s">
        <v>46</v>
      </c>
      <c r="HJ7" s="73" t="s">
        <v>47</v>
      </c>
      <c r="HK7" s="74" t="s">
        <v>48</v>
      </c>
      <c r="HL7" s="75" t="s">
        <v>49</v>
      </c>
      <c r="HM7" s="71" t="s">
        <v>43</v>
      </c>
      <c r="HN7" s="72" t="s">
        <v>44</v>
      </c>
      <c r="HO7" s="72" t="s">
        <v>45</v>
      </c>
      <c r="HP7" s="72" t="s">
        <v>46</v>
      </c>
      <c r="HQ7" s="73" t="s">
        <v>47</v>
      </c>
      <c r="HR7" s="74" t="s">
        <v>48</v>
      </c>
      <c r="HS7" s="75" t="s">
        <v>49</v>
      </c>
      <c r="HT7" s="71" t="s">
        <v>43</v>
      </c>
      <c r="HU7" s="72" t="s">
        <v>44</v>
      </c>
      <c r="HV7" s="72" t="s">
        <v>45</v>
      </c>
      <c r="HW7" s="72" t="s">
        <v>46</v>
      </c>
      <c r="HX7" s="73" t="s">
        <v>47</v>
      </c>
      <c r="HY7" s="74" t="s">
        <v>48</v>
      </c>
      <c r="HZ7" s="75" t="s">
        <v>49</v>
      </c>
      <c r="IA7" s="71" t="s">
        <v>43</v>
      </c>
      <c r="IB7" s="72" t="s">
        <v>44</v>
      </c>
      <c r="IC7" s="72" t="s">
        <v>45</v>
      </c>
      <c r="ID7" s="72" t="s">
        <v>46</v>
      </c>
      <c r="IE7" s="73" t="s">
        <v>47</v>
      </c>
      <c r="IF7" s="74" t="s">
        <v>48</v>
      </c>
      <c r="IG7" s="75" t="s">
        <v>49</v>
      </c>
      <c r="IH7" s="71" t="s">
        <v>43</v>
      </c>
      <c r="II7" s="72" t="s">
        <v>44</v>
      </c>
      <c r="IJ7" s="72" t="s">
        <v>45</v>
      </c>
      <c r="IK7" s="72" t="s">
        <v>46</v>
      </c>
      <c r="IL7" s="73" t="s">
        <v>47</v>
      </c>
      <c r="IM7" s="74" t="s">
        <v>48</v>
      </c>
      <c r="IN7" s="75" t="s">
        <v>49</v>
      </c>
      <c r="IO7" s="71" t="s">
        <v>43</v>
      </c>
      <c r="IP7" s="72" t="s">
        <v>44</v>
      </c>
      <c r="IQ7" s="72" t="s">
        <v>45</v>
      </c>
      <c r="IR7" s="72" t="s">
        <v>46</v>
      </c>
      <c r="IS7" s="73" t="s">
        <v>47</v>
      </c>
      <c r="IT7" s="74" t="s">
        <v>48</v>
      </c>
      <c r="IU7" s="75" t="s">
        <v>49</v>
      </c>
      <c r="IV7" s="71" t="s">
        <v>43</v>
      </c>
      <c r="IW7" s="72" t="s">
        <v>44</v>
      </c>
      <c r="IX7" s="72" t="s">
        <v>45</v>
      </c>
      <c r="IY7" s="72" t="s">
        <v>46</v>
      </c>
      <c r="IZ7" s="73" t="s">
        <v>47</v>
      </c>
      <c r="JA7" s="74" t="s">
        <v>48</v>
      </c>
      <c r="JB7" s="75" t="s">
        <v>49</v>
      </c>
      <c r="JC7" s="71" t="s">
        <v>43</v>
      </c>
      <c r="JD7" s="72" t="s">
        <v>44</v>
      </c>
      <c r="JE7" s="72" t="s">
        <v>45</v>
      </c>
      <c r="JF7" s="72" t="s">
        <v>46</v>
      </c>
      <c r="JG7" s="73" t="s">
        <v>47</v>
      </c>
      <c r="JH7" s="74" t="s">
        <v>48</v>
      </c>
      <c r="JI7" s="75" t="s">
        <v>49</v>
      </c>
      <c r="JJ7" s="71" t="s">
        <v>43</v>
      </c>
      <c r="JK7" s="72" t="s">
        <v>44</v>
      </c>
      <c r="JL7" s="72" t="s">
        <v>45</v>
      </c>
      <c r="JM7" s="72" t="s">
        <v>46</v>
      </c>
      <c r="JN7" s="73" t="s">
        <v>47</v>
      </c>
      <c r="JO7" s="74" t="s">
        <v>48</v>
      </c>
      <c r="JP7" s="75" t="s">
        <v>49</v>
      </c>
      <c r="JQ7" s="71" t="s">
        <v>43</v>
      </c>
      <c r="JR7" s="72" t="s">
        <v>44</v>
      </c>
      <c r="JS7" s="72" t="s">
        <v>45</v>
      </c>
      <c r="JT7" s="72" t="s">
        <v>46</v>
      </c>
      <c r="JU7" s="73" t="s">
        <v>47</v>
      </c>
      <c r="JV7" s="74" t="s">
        <v>48</v>
      </c>
      <c r="JW7" s="75" t="s">
        <v>49</v>
      </c>
      <c r="JX7" s="71" t="s">
        <v>43</v>
      </c>
      <c r="JY7" s="72" t="s">
        <v>44</v>
      </c>
      <c r="JZ7" s="72" t="s">
        <v>45</v>
      </c>
      <c r="KA7" s="72" t="s">
        <v>46</v>
      </c>
      <c r="KB7" s="73" t="s">
        <v>47</v>
      </c>
      <c r="KC7" s="74" t="s">
        <v>48</v>
      </c>
      <c r="KD7" s="75" t="s">
        <v>49</v>
      </c>
      <c r="KE7" s="71" t="s">
        <v>43</v>
      </c>
      <c r="KF7" s="72" t="s">
        <v>44</v>
      </c>
      <c r="KG7" s="72" t="s">
        <v>45</v>
      </c>
      <c r="KH7" s="72" t="s">
        <v>46</v>
      </c>
      <c r="KI7" s="73" t="s">
        <v>47</v>
      </c>
      <c r="KJ7" s="74" t="s">
        <v>48</v>
      </c>
      <c r="KK7" s="75" t="s">
        <v>49</v>
      </c>
      <c r="KL7" s="71" t="s">
        <v>43</v>
      </c>
      <c r="KM7" s="72" t="s">
        <v>44</v>
      </c>
      <c r="KN7" s="72" t="s">
        <v>45</v>
      </c>
      <c r="KO7" s="72" t="s">
        <v>46</v>
      </c>
      <c r="KP7" s="73" t="s">
        <v>47</v>
      </c>
      <c r="KQ7" s="74" t="s">
        <v>48</v>
      </c>
      <c r="KR7" s="75" t="s">
        <v>49</v>
      </c>
      <c r="KS7" s="71" t="s">
        <v>43</v>
      </c>
      <c r="KT7" s="72" t="s">
        <v>44</v>
      </c>
      <c r="KU7" s="72" t="s">
        <v>45</v>
      </c>
      <c r="KV7" s="72" t="s">
        <v>46</v>
      </c>
      <c r="KW7" s="73" t="s">
        <v>47</v>
      </c>
      <c r="KX7" s="74" t="s">
        <v>48</v>
      </c>
      <c r="KY7" s="75" t="s">
        <v>49</v>
      </c>
      <c r="KZ7" s="71" t="s">
        <v>43</v>
      </c>
      <c r="LA7" s="72" t="s">
        <v>44</v>
      </c>
      <c r="LB7" s="72" t="s">
        <v>45</v>
      </c>
      <c r="LC7" s="72" t="s">
        <v>46</v>
      </c>
      <c r="LD7" s="73" t="s">
        <v>47</v>
      </c>
      <c r="LE7" s="74" t="s">
        <v>48</v>
      </c>
      <c r="LF7" s="75" t="s">
        <v>49</v>
      </c>
      <c r="LG7" s="71" t="s">
        <v>43</v>
      </c>
      <c r="LH7" s="72" t="s">
        <v>44</v>
      </c>
      <c r="LI7" s="72" t="s">
        <v>45</v>
      </c>
      <c r="LJ7" s="72" t="s">
        <v>46</v>
      </c>
      <c r="LK7" s="73" t="s">
        <v>47</v>
      </c>
      <c r="LL7" s="74" t="s">
        <v>48</v>
      </c>
      <c r="LM7" s="75" t="s">
        <v>49</v>
      </c>
      <c r="LN7" s="71" t="s">
        <v>43</v>
      </c>
      <c r="LO7" s="72" t="s">
        <v>44</v>
      </c>
      <c r="LP7" s="72" t="s">
        <v>45</v>
      </c>
      <c r="LQ7" s="72" t="s">
        <v>46</v>
      </c>
      <c r="LR7" s="73" t="s">
        <v>47</v>
      </c>
      <c r="LS7" s="74" t="s">
        <v>48</v>
      </c>
      <c r="LT7" s="75" t="s">
        <v>49</v>
      </c>
      <c r="LU7" s="71" t="s">
        <v>43</v>
      </c>
      <c r="LV7" s="72" t="s">
        <v>44</v>
      </c>
      <c r="LW7" s="72" t="s">
        <v>45</v>
      </c>
      <c r="LX7" s="72" t="s">
        <v>46</v>
      </c>
      <c r="LY7" s="73" t="s">
        <v>47</v>
      </c>
      <c r="LZ7" s="74" t="s">
        <v>48</v>
      </c>
      <c r="MA7" s="75" t="s">
        <v>49</v>
      </c>
      <c r="MB7" s="71" t="s">
        <v>43</v>
      </c>
      <c r="MC7" s="72" t="s">
        <v>44</v>
      </c>
      <c r="MD7" s="72" t="s">
        <v>45</v>
      </c>
      <c r="ME7" s="72" t="s">
        <v>46</v>
      </c>
      <c r="MF7" s="73" t="s">
        <v>47</v>
      </c>
      <c r="MG7" s="74" t="s">
        <v>48</v>
      </c>
      <c r="MH7" s="75" t="s">
        <v>49</v>
      </c>
      <c r="MI7" s="71" t="s">
        <v>43</v>
      </c>
      <c r="MJ7" s="72" t="s">
        <v>44</v>
      </c>
      <c r="MK7" s="72" t="s">
        <v>45</v>
      </c>
      <c r="ML7" s="72" t="s">
        <v>46</v>
      </c>
      <c r="MM7" s="73" t="s">
        <v>47</v>
      </c>
      <c r="MN7" s="74" t="s">
        <v>48</v>
      </c>
      <c r="MO7" s="75" t="s">
        <v>49</v>
      </c>
      <c r="MP7" s="71" t="s">
        <v>43</v>
      </c>
      <c r="MQ7" s="72" t="s">
        <v>44</v>
      </c>
      <c r="MR7" s="72" t="s">
        <v>45</v>
      </c>
      <c r="MS7" s="72" t="s">
        <v>46</v>
      </c>
      <c r="MT7" s="73" t="s">
        <v>47</v>
      </c>
      <c r="MU7" s="74" t="s">
        <v>48</v>
      </c>
      <c r="MV7" s="75" t="s">
        <v>49</v>
      </c>
      <c r="MW7" s="71" t="s">
        <v>43</v>
      </c>
      <c r="MX7" s="72" t="s">
        <v>44</v>
      </c>
      <c r="MY7" s="72" t="s">
        <v>45</v>
      </c>
      <c r="MZ7" s="72" t="s">
        <v>46</v>
      </c>
      <c r="NA7" s="73" t="s">
        <v>47</v>
      </c>
      <c r="NB7" s="74" t="s">
        <v>48</v>
      </c>
      <c r="NC7" s="75" t="s">
        <v>49</v>
      </c>
      <c r="ND7" s="71" t="s">
        <v>43</v>
      </c>
      <c r="NE7" s="72" t="s">
        <v>44</v>
      </c>
      <c r="NF7" s="72" t="s">
        <v>45</v>
      </c>
      <c r="NG7" s="72" t="s">
        <v>46</v>
      </c>
      <c r="NH7" s="73" t="s">
        <v>47</v>
      </c>
      <c r="NI7" s="74" t="s">
        <v>48</v>
      </c>
      <c r="NJ7" s="75" t="s">
        <v>49</v>
      </c>
      <c r="NK7" s="71" t="s">
        <v>43</v>
      </c>
      <c r="NL7" s="72" t="s">
        <v>44</v>
      </c>
      <c r="NM7" s="72" t="s">
        <v>45</v>
      </c>
      <c r="NN7" s="72" t="s">
        <v>46</v>
      </c>
      <c r="NO7" s="73" t="s">
        <v>47</v>
      </c>
      <c r="NP7" s="74" t="s">
        <v>48</v>
      </c>
      <c r="NQ7" s="75" t="s">
        <v>49</v>
      </c>
    </row>
    <row r="8" spans="1:381" ht="15" customHeight="1" x14ac:dyDescent="0.15">
      <c r="A8" s="65">
        <v>3</v>
      </c>
      <c r="B8" s="76"/>
      <c r="C8" s="77">
        <v>0</v>
      </c>
      <c r="D8" s="78"/>
      <c r="E8" s="79"/>
      <c r="F8" s="79"/>
      <c r="G8" s="80"/>
      <c r="H8" s="81"/>
      <c r="I8" s="82"/>
      <c r="J8" s="83"/>
      <c r="K8" s="78"/>
      <c r="L8" s="79"/>
      <c r="M8" s="79"/>
      <c r="N8" s="80"/>
      <c r="O8" s="81"/>
      <c r="P8" s="82"/>
      <c r="Q8" s="83"/>
      <c r="R8" s="78"/>
      <c r="S8" s="79"/>
      <c r="T8" s="79"/>
      <c r="U8" s="80"/>
      <c r="V8" s="81"/>
      <c r="W8" s="82"/>
      <c r="X8" s="83"/>
      <c r="Y8" s="78"/>
      <c r="Z8" s="79"/>
      <c r="AA8" s="79"/>
      <c r="AB8" s="80"/>
      <c r="AC8" s="81"/>
      <c r="AD8" s="82"/>
      <c r="AE8" s="83"/>
      <c r="AF8" s="78"/>
      <c r="AG8" s="79"/>
      <c r="AH8" s="79"/>
      <c r="AI8" s="80"/>
      <c r="AJ8" s="81"/>
      <c r="AK8" s="82"/>
      <c r="AL8" s="83"/>
      <c r="AM8" s="78"/>
      <c r="AN8" s="79"/>
      <c r="AO8" s="79"/>
      <c r="AP8" s="80"/>
      <c r="AQ8" s="81"/>
      <c r="AR8" s="82"/>
      <c r="AS8" s="83"/>
      <c r="AT8" s="78"/>
      <c r="AU8" s="79"/>
      <c r="AV8" s="79"/>
      <c r="AW8" s="80"/>
      <c r="AX8" s="81"/>
      <c r="AY8" s="82"/>
      <c r="AZ8" s="83"/>
      <c r="BA8" s="78"/>
      <c r="BB8" s="79"/>
      <c r="BC8" s="79"/>
      <c r="BD8" s="80"/>
      <c r="BE8" s="81"/>
      <c r="BF8" s="82"/>
      <c r="BG8" s="83"/>
      <c r="BH8" s="78"/>
      <c r="BI8" s="79"/>
      <c r="BJ8" s="79"/>
      <c r="BK8" s="80"/>
      <c r="BL8" s="81"/>
      <c r="BM8" s="82"/>
      <c r="BN8" s="83"/>
      <c r="BO8" s="78"/>
      <c r="BP8" s="79"/>
      <c r="BQ8" s="79"/>
      <c r="BR8" s="80"/>
      <c r="BS8" s="81"/>
      <c r="BT8" s="82"/>
      <c r="BU8" s="83"/>
      <c r="BV8" s="78"/>
      <c r="BW8" s="79"/>
      <c r="BX8" s="79"/>
      <c r="BY8" s="80"/>
      <c r="BZ8" s="81"/>
      <c r="CA8" s="82"/>
      <c r="CB8" s="83"/>
      <c r="CC8" s="78"/>
      <c r="CD8" s="79"/>
      <c r="CE8" s="79"/>
      <c r="CF8" s="80"/>
      <c r="CG8" s="81"/>
      <c r="CH8" s="82"/>
      <c r="CI8" s="83"/>
      <c r="CJ8" s="78"/>
      <c r="CK8" s="79"/>
      <c r="CL8" s="79"/>
      <c r="CM8" s="80"/>
      <c r="CN8" s="81"/>
      <c r="CO8" s="82"/>
      <c r="CP8" s="83"/>
      <c r="CQ8" s="78"/>
      <c r="CR8" s="79"/>
      <c r="CS8" s="79"/>
      <c r="CT8" s="80"/>
      <c r="CU8" s="81"/>
      <c r="CV8" s="82"/>
      <c r="CW8" s="83"/>
      <c r="CX8" s="78"/>
      <c r="CY8" s="79"/>
      <c r="CZ8" s="79"/>
      <c r="DA8" s="80"/>
      <c r="DB8" s="81"/>
      <c r="DC8" s="82"/>
      <c r="DD8" s="83"/>
      <c r="DE8" s="78"/>
      <c r="DF8" s="79"/>
      <c r="DG8" s="79"/>
      <c r="DH8" s="80"/>
      <c r="DI8" s="81"/>
      <c r="DJ8" s="82"/>
      <c r="DK8" s="83"/>
      <c r="DL8" s="78"/>
      <c r="DM8" s="79"/>
      <c r="DN8" s="79"/>
      <c r="DO8" s="80"/>
      <c r="DP8" s="81"/>
      <c r="DQ8" s="82"/>
      <c r="DR8" s="83"/>
      <c r="DS8" s="78"/>
      <c r="DT8" s="79"/>
      <c r="DU8" s="79"/>
      <c r="DV8" s="80"/>
      <c r="DW8" s="81"/>
      <c r="DX8" s="82"/>
      <c r="DY8" s="83"/>
      <c r="DZ8" s="78"/>
      <c r="EA8" s="79"/>
      <c r="EB8" s="79"/>
      <c r="EC8" s="80"/>
      <c r="ED8" s="81"/>
      <c r="EE8" s="82"/>
      <c r="EF8" s="83"/>
      <c r="EG8" s="78"/>
      <c r="EH8" s="79"/>
      <c r="EI8" s="79"/>
      <c r="EJ8" s="80"/>
      <c r="EK8" s="81"/>
      <c r="EL8" s="82"/>
      <c r="EM8" s="83"/>
      <c r="EN8" s="78"/>
      <c r="EO8" s="79"/>
      <c r="EP8" s="79"/>
      <c r="EQ8" s="80"/>
      <c r="ER8" s="81"/>
      <c r="ES8" s="82"/>
      <c r="ET8" s="83"/>
      <c r="EU8" s="78"/>
      <c r="EV8" s="79"/>
      <c r="EW8" s="79"/>
      <c r="EX8" s="80"/>
      <c r="EY8" s="81"/>
      <c r="EZ8" s="82"/>
      <c r="FA8" s="83"/>
      <c r="FB8" s="78"/>
      <c r="FC8" s="79"/>
      <c r="FD8" s="79"/>
      <c r="FE8" s="80"/>
      <c r="FF8" s="81"/>
      <c r="FG8" s="82"/>
      <c r="FH8" s="83"/>
      <c r="FI8" s="78"/>
      <c r="FJ8" s="79"/>
      <c r="FK8" s="79"/>
      <c r="FL8" s="80"/>
      <c r="FM8" s="81"/>
      <c r="FN8" s="82"/>
      <c r="FO8" s="83"/>
      <c r="FP8" s="78"/>
      <c r="FQ8" s="79"/>
      <c r="FR8" s="79"/>
      <c r="FS8" s="80"/>
      <c r="FT8" s="81"/>
      <c r="FU8" s="82"/>
      <c r="FV8" s="83"/>
      <c r="FW8" s="78"/>
      <c r="FX8" s="79"/>
      <c r="FY8" s="79"/>
      <c r="FZ8" s="80"/>
      <c r="GA8" s="81"/>
      <c r="GB8" s="82"/>
      <c r="GC8" s="83"/>
      <c r="GD8" s="78"/>
      <c r="GE8" s="79"/>
      <c r="GF8" s="79"/>
      <c r="GG8" s="80"/>
      <c r="GH8" s="81"/>
      <c r="GI8" s="82"/>
      <c r="GJ8" s="83"/>
      <c r="GK8" s="78"/>
      <c r="GL8" s="79"/>
      <c r="GM8" s="79"/>
      <c r="GN8" s="80"/>
      <c r="GO8" s="81"/>
      <c r="GP8" s="82"/>
      <c r="GQ8" s="83"/>
      <c r="GR8" s="78"/>
      <c r="GS8" s="79"/>
      <c r="GT8" s="79"/>
      <c r="GU8" s="80"/>
      <c r="GV8" s="81"/>
      <c r="GW8" s="82"/>
      <c r="GX8" s="83"/>
      <c r="GY8" s="78"/>
      <c r="GZ8" s="79"/>
      <c r="HA8" s="79"/>
      <c r="HB8" s="80"/>
      <c r="HC8" s="81"/>
      <c r="HD8" s="82"/>
      <c r="HE8" s="83"/>
      <c r="HF8" s="78"/>
      <c r="HG8" s="79"/>
      <c r="HH8" s="79"/>
      <c r="HI8" s="80"/>
      <c r="HJ8" s="81"/>
      <c r="HK8" s="82"/>
      <c r="HL8" s="83"/>
      <c r="HM8" s="78"/>
      <c r="HN8" s="79"/>
      <c r="HO8" s="79"/>
      <c r="HP8" s="80"/>
      <c r="HQ8" s="81"/>
      <c r="HR8" s="82"/>
      <c r="HS8" s="83"/>
      <c r="HT8" s="78"/>
      <c r="HU8" s="79"/>
      <c r="HV8" s="79"/>
      <c r="HW8" s="80"/>
      <c r="HX8" s="81"/>
      <c r="HY8" s="82"/>
      <c r="HZ8" s="83"/>
      <c r="IA8" s="78"/>
      <c r="IB8" s="79"/>
      <c r="IC8" s="79"/>
      <c r="ID8" s="80"/>
      <c r="IE8" s="81"/>
      <c r="IF8" s="82"/>
      <c r="IG8" s="83"/>
      <c r="IH8" s="78"/>
      <c r="II8" s="79"/>
      <c r="IJ8" s="79"/>
      <c r="IK8" s="80"/>
      <c r="IL8" s="81"/>
      <c r="IM8" s="82"/>
      <c r="IN8" s="83"/>
      <c r="IO8" s="78"/>
      <c r="IP8" s="79"/>
      <c r="IQ8" s="79"/>
      <c r="IR8" s="80"/>
      <c r="IS8" s="81"/>
      <c r="IT8" s="82"/>
      <c r="IU8" s="83"/>
      <c r="IV8" s="78"/>
      <c r="IW8" s="79"/>
      <c r="IX8" s="79"/>
      <c r="IY8" s="80"/>
      <c r="IZ8" s="81"/>
      <c r="JA8" s="82"/>
      <c r="JB8" s="83"/>
      <c r="JC8" s="78"/>
      <c r="JD8" s="79"/>
      <c r="JE8" s="79"/>
      <c r="JF8" s="80"/>
      <c r="JG8" s="81"/>
      <c r="JH8" s="82"/>
      <c r="JI8" s="83"/>
      <c r="JJ8" s="78"/>
      <c r="JK8" s="79"/>
      <c r="JL8" s="79"/>
      <c r="JM8" s="80"/>
      <c r="JN8" s="81"/>
      <c r="JO8" s="82"/>
      <c r="JP8" s="83"/>
      <c r="JQ8" s="78"/>
      <c r="JR8" s="79"/>
      <c r="JS8" s="79"/>
      <c r="JT8" s="80"/>
      <c r="JU8" s="81"/>
      <c r="JV8" s="82"/>
      <c r="JW8" s="83"/>
      <c r="JX8" s="78"/>
      <c r="JY8" s="79"/>
      <c r="JZ8" s="79"/>
      <c r="KA8" s="80"/>
      <c r="KB8" s="81"/>
      <c r="KC8" s="82"/>
      <c r="KD8" s="83"/>
      <c r="KE8" s="78"/>
      <c r="KF8" s="79"/>
      <c r="KG8" s="79"/>
      <c r="KH8" s="80"/>
      <c r="KI8" s="81"/>
      <c r="KJ8" s="82"/>
      <c r="KK8" s="83"/>
      <c r="KL8" s="78"/>
      <c r="KM8" s="79"/>
      <c r="KN8" s="79"/>
      <c r="KO8" s="80"/>
      <c r="KP8" s="81"/>
      <c r="KQ8" s="82"/>
      <c r="KR8" s="83"/>
      <c r="KS8" s="78"/>
      <c r="KT8" s="79"/>
      <c r="KU8" s="79"/>
      <c r="KV8" s="80"/>
      <c r="KW8" s="81"/>
      <c r="KX8" s="82"/>
      <c r="KY8" s="83"/>
      <c r="KZ8" s="78"/>
      <c r="LA8" s="79"/>
      <c r="LB8" s="79"/>
      <c r="LC8" s="80"/>
      <c r="LD8" s="81"/>
      <c r="LE8" s="82"/>
      <c r="LF8" s="83"/>
      <c r="LG8" s="78"/>
      <c r="LH8" s="79"/>
      <c r="LI8" s="79"/>
      <c r="LJ8" s="80"/>
      <c r="LK8" s="81"/>
      <c r="LL8" s="82"/>
      <c r="LM8" s="83"/>
      <c r="LN8" s="78"/>
      <c r="LO8" s="79"/>
      <c r="LP8" s="79"/>
      <c r="LQ8" s="80"/>
      <c r="LR8" s="81"/>
      <c r="LS8" s="82"/>
      <c r="LT8" s="83"/>
      <c r="LU8" s="78"/>
      <c r="LV8" s="79"/>
      <c r="LW8" s="79"/>
      <c r="LX8" s="80"/>
      <c r="LY8" s="81"/>
      <c r="LZ8" s="82"/>
      <c r="MA8" s="83"/>
      <c r="MB8" s="78"/>
      <c r="MC8" s="79"/>
      <c r="MD8" s="79"/>
      <c r="ME8" s="80"/>
      <c r="MF8" s="81"/>
      <c r="MG8" s="82"/>
      <c r="MH8" s="83"/>
      <c r="MI8" s="78"/>
      <c r="MJ8" s="79"/>
      <c r="MK8" s="79"/>
      <c r="ML8" s="80"/>
      <c r="MM8" s="81"/>
      <c r="MN8" s="82"/>
      <c r="MO8" s="83"/>
      <c r="MP8" s="78"/>
      <c r="MQ8" s="79"/>
      <c r="MR8" s="79"/>
      <c r="MS8" s="80"/>
      <c r="MT8" s="81"/>
      <c r="MU8" s="82"/>
      <c r="MV8" s="83"/>
      <c r="MW8" s="78"/>
      <c r="MX8" s="79"/>
      <c r="MY8" s="79"/>
      <c r="MZ8" s="80"/>
      <c r="NA8" s="81"/>
      <c r="NB8" s="82"/>
      <c r="NC8" s="83"/>
      <c r="ND8" s="78"/>
      <c r="NE8" s="79"/>
      <c r="NF8" s="79"/>
      <c r="NG8" s="80"/>
      <c r="NH8" s="81"/>
      <c r="NI8" s="82"/>
      <c r="NJ8" s="83"/>
      <c r="NK8" s="78"/>
      <c r="NL8" s="79"/>
      <c r="NM8" s="79"/>
      <c r="NN8" s="80"/>
      <c r="NO8" s="81"/>
      <c r="NP8" s="82"/>
      <c r="NQ8" s="83"/>
    </row>
    <row r="9" spans="1:381" ht="15" customHeight="1" x14ac:dyDescent="0.15">
      <c r="A9" s="65">
        <v>4</v>
      </c>
      <c r="B9" s="76"/>
      <c r="C9" s="77"/>
      <c r="D9" s="78"/>
      <c r="E9" s="79"/>
      <c r="F9" s="79"/>
      <c r="G9" s="80"/>
      <c r="H9" s="81"/>
      <c r="I9" s="82"/>
      <c r="J9" s="83"/>
      <c r="K9" s="78"/>
      <c r="L9" s="79"/>
      <c r="M9" s="79"/>
      <c r="N9" s="80"/>
      <c r="O9" s="81"/>
      <c r="P9" s="82"/>
      <c r="Q9" s="83"/>
      <c r="R9" s="78"/>
      <c r="S9" s="79"/>
      <c r="T9" s="79"/>
      <c r="U9" s="80"/>
      <c r="V9" s="81"/>
      <c r="W9" s="82"/>
      <c r="X9" s="83"/>
      <c r="Y9" s="78"/>
      <c r="Z9" s="79"/>
      <c r="AA9" s="79"/>
      <c r="AB9" s="80"/>
      <c r="AC9" s="81"/>
      <c r="AD9" s="82"/>
      <c r="AE9" s="83"/>
      <c r="AF9" s="78"/>
      <c r="AG9" s="79"/>
      <c r="AH9" s="79"/>
      <c r="AI9" s="80"/>
      <c r="AJ9" s="81"/>
      <c r="AK9" s="82"/>
      <c r="AL9" s="83"/>
      <c r="AM9" s="78"/>
      <c r="AN9" s="79"/>
      <c r="AO9" s="79"/>
      <c r="AP9" s="80"/>
      <c r="AQ9" s="81"/>
      <c r="AR9" s="82"/>
      <c r="AS9" s="83"/>
      <c r="AT9" s="78"/>
      <c r="AU9" s="79"/>
      <c r="AV9" s="79"/>
      <c r="AW9" s="80"/>
      <c r="AX9" s="81"/>
      <c r="AY9" s="82"/>
      <c r="AZ9" s="83"/>
      <c r="BA9" s="78"/>
      <c r="BB9" s="79"/>
      <c r="BC9" s="79"/>
      <c r="BD9" s="80"/>
      <c r="BE9" s="81"/>
      <c r="BF9" s="82"/>
      <c r="BG9" s="83"/>
      <c r="BH9" s="78"/>
      <c r="BI9" s="79"/>
      <c r="BJ9" s="79"/>
      <c r="BK9" s="80"/>
      <c r="BL9" s="81"/>
      <c r="BM9" s="82"/>
      <c r="BN9" s="83"/>
      <c r="BO9" s="78"/>
      <c r="BP9" s="79"/>
      <c r="BQ9" s="79"/>
      <c r="BR9" s="80"/>
      <c r="BS9" s="81"/>
      <c r="BT9" s="82"/>
      <c r="BU9" s="83"/>
      <c r="BV9" s="78"/>
      <c r="BW9" s="79"/>
      <c r="BX9" s="79"/>
      <c r="BY9" s="80"/>
      <c r="BZ9" s="81"/>
      <c r="CA9" s="82"/>
      <c r="CB9" s="83"/>
      <c r="CC9" s="78"/>
      <c r="CD9" s="79"/>
      <c r="CE9" s="79"/>
      <c r="CF9" s="80"/>
      <c r="CG9" s="81"/>
      <c r="CH9" s="82"/>
      <c r="CI9" s="83"/>
      <c r="CJ9" s="78"/>
      <c r="CK9" s="79"/>
      <c r="CL9" s="79"/>
      <c r="CM9" s="80"/>
      <c r="CN9" s="81"/>
      <c r="CO9" s="82"/>
      <c r="CP9" s="83"/>
      <c r="CQ9" s="78"/>
      <c r="CR9" s="79"/>
      <c r="CS9" s="79"/>
      <c r="CT9" s="80"/>
      <c r="CU9" s="81"/>
      <c r="CV9" s="82"/>
      <c r="CW9" s="83"/>
      <c r="CX9" s="78"/>
      <c r="CY9" s="79"/>
      <c r="CZ9" s="79"/>
      <c r="DA9" s="80"/>
      <c r="DB9" s="81"/>
      <c r="DC9" s="82"/>
      <c r="DD9" s="83"/>
      <c r="DE9" s="78"/>
      <c r="DF9" s="79"/>
      <c r="DG9" s="79"/>
      <c r="DH9" s="80"/>
      <c r="DI9" s="81"/>
      <c r="DJ9" s="82"/>
      <c r="DK9" s="83"/>
      <c r="DL9" s="78"/>
      <c r="DM9" s="79"/>
      <c r="DN9" s="79"/>
      <c r="DO9" s="80"/>
      <c r="DP9" s="81"/>
      <c r="DQ9" s="82"/>
      <c r="DR9" s="83"/>
      <c r="DS9" s="78"/>
      <c r="DT9" s="79"/>
      <c r="DU9" s="79"/>
      <c r="DV9" s="80"/>
      <c r="DW9" s="81"/>
      <c r="DX9" s="82"/>
      <c r="DY9" s="83"/>
      <c r="DZ9" s="78"/>
      <c r="EA9" s="79"/>
      <c r="EB9" s="79"/>
      <c r="EC9" s="80"/>
      <c r="ED9" s="81"/>
      <c r="EE9" s="82"/>
      <c r="EF9" s="83"/>
      <c r="EG9" s="78"/>
      <c r="EH9" s="79"/>
      <c r="EI9" s="79"/>
      <c r="EJ9" s="80"/>
      <c r="EK9" s="81"/>
      <c r="EL9" s="82"/>
      <c r="EM9" s="83"/>
      <c r="EN9" s="78"/>
      <c r="EO9" s="79"/>
      <c r="EP9" s="79"/>
      <c r="EQ9" s="80"/>
      <c r="ER9" s="81"/>
      <c r="ES9" s="82"/>
      <c r="ET9" s="83"/>
      <c r="EU9" s="78"/>
      <c r="EV9" s="79"/>
      <c r="EW9" s="79"/>
      <c r="EX9" s="80"/>
      <c r="EY9" s="81"/>
      <c r="EZ9" s="82"/>
      <c r="FA9" s="83"/>
      <c r="FB9" s="78"/>
      <c r="FC9" s="79"/>
      <c r="FD9" s="79"/>
      <c r="FE9" s="80"/>
      <c r="FF9" s="81"/>
      <c r="FG9" s="82"/>
      <c r="FH9" s="83"/>
      <c r="FI9" s="78"/>
      <c r="FJ9" s="79"/>
      <c r="FK9" s="79"/>
      <c r="FL9" s="80"/>
      <c r="FM9" s="81"/>
      <c r="FN9" s="82"/>
      <c r="FO9" s="83"/>
      <c r="FP9" s="78"/>
      <c r="FQ9" s="79"/>
      <c r="FR9" s="79"/>
      <c r="FS9" s="80"/>
      <c r="FT9" s="81"/>
      <c r="FU9" s="82"/>
      <c r="FV9" s="83"/>
      <c r="FW9" s="78"/>
      <c r="FX9" s="79"/>
      <c r="FY9" s="79"/>
      <c r="FZ9" s="80"/>
      <c r="GA9" s="81"/>
      <c r="GB9" s="82"/>
      <c r="GC9" s="83"/>
      <c r="GD9" s="78"/>
      <c r="GE9" s="79"/>
      <c r="GF9" s="79"/>
      <c r="GG9" s="80"/>
      <c r="GH9" s="81"/>
      <c r="GI9" s="82"/>
      <c r="GJ9" s="83"/>
      <c r="GK9" s="78"/>
      <c r="GL9" s="79"/>
      <c r="GM9" s="79"/>
      <c r="GN9" s="80"/>
      <c r="GO9" s="81"/>
      <c r="GP9" s="82"/>
      <c r="GQ9" s="83"/>
      <c r="GR9" s="78"/>
      <c r="GS9" s="79"/>
      <c r="GT9" s="79"/>
      <c r="GU9" s="80"/>
      <c r="GV9" s="81"/>
      <c r="GW9" s="82"/>
      <c r="GX9" s="83"/>
      <c r="GY9" s="78"/>
      <c r="GZ9" s="79"/>
      <c r="HA9" s="79"/>
      <c r="HB9" s="80"/>
      <c r="HC9" s="81"/>
      <c r="HD9" s="82"/>
      <c r="HE9" s="83"/>
      <c r="HF9" s="78"/>
      <c r="HG9" s="79"/>
      <c r="HH9" s="79"/>
      <c r="HI9" s="80"/>
      <c r="HJ9" s="81"/>
      <c r="HK9" s="82"/>
      <c r="HL9" s="83"/>
      <c r="HM9" s="78"/>
      <c r="HN9" s="79"/>
      <c r="HO9" s="79"/>
      <c r="HP9" s="80"/>
      <c r="HQ9" s="81"/>
      <c r="HR9" s="82"/>
      <c r="HS9" s="83"/>
      <c r="HT9" s="78"/>
      <c r="HU9" s="79"/>
      <c r="HV9" s="79"/>
      <c r="HW9" s="80"/>
      <c r="HX9" s="81"/>
      <c r="HY9" s="82"/>
      <c r="HZ9" s="83"/>
      <c r="IA9" s="78"/>
      <c r="IB9" s="79"/>
      <c r="IC9" s="79"/>
      <c r="ID9" s="80"/>
      <c r="IE9" s="81"/>
      <c r="IF9" s="82"/>
      <c r="IG9" s="83"/>
      <c r="IH9" s="78"/>
      <c r="II9" s="79"/>
      <c r="IJ9" s="79"/>
      <c r="IK9" s="80"/>
      <c r="IL9" s="81"/>
      <c r="IM9" s="82"/>
      <c r="IN9" s="83"/>
      <c r="IO9" s="78"/>
      <c r="IP9" s="79"/>
      <c r="IQ9" s="79"/>
      <c r="IR9" s="80"/>
      <c r="IS9" s="81"/>
      <c r="IT9" s="82"/>
      <c r="IU9" s="83"/>
      <c r="IV9" s="78"/>
      <c r="IW9" s="79"/>
      <c r="IX9" s="79"/>
      <c r="IY9" s="80"/>
      <c r="IZ9" s="81"/>
      <c r="JA9" s="82"/>
      <c r="JB9" s="83"/>
      <c r="JC9" s="78"/>
      <c r="JD9" s="79"/>
      <c r="JE9" s="79"/>
      <c r="JF9" s="80"/>
      <c r="JG9" s="81"/>
      <c r="JH9" s="82"/>
      <c r="JI9" s="83"/>
      <c r="JJ9" s="78"/>
      <c r="JK9" s="79"/>
      <c r="JL9" s="79"/>
      <c r="JM9" s="80"/>
      <c r="JN9" s="81"/>
      <c r="JO9" s="82"/>
      <c r="JP9" s="83"/>
      <c r="JQ9" s="78"/>
      <c r="JR9" s="79"/>
      <c r="JS9" s="79"/>
      <c r="JT9" s="80"/>
      <c r="JU9" s="81"/>
      <c r="JV9" s="82"/>
      <c r="JW9" s="83"/>
      <c r="JX9" s="78"/>
      <c r="JY9" s="79"/>
      <c r="JZ9" s="79"/>
      <c r="KA9" s="80"/>
      <c r="KB9" s="81"/>
      <c r="KC9" s="82"/>
      <c r="KD9" s="83"/>
      <c r="KE9" s="78"/>
      <c r="KF9" s="79"/>
      <c r="KG9" s="79"/>
      <c r="KH9" s="80"/>
      <c r="KI9" s="81"/>
      <c r="KJ9" s="82"/>
      <c r="KK9" s="83"/>
      <c r="KL9" s="78"/>
      <c r="KM9" s="79"/>
      <c r="KN9" s="79"/>
      <c r="KO9" s="80"/>
      <c r="KP9" s="81"/>
      <c r="KQ9" s="82"/>
      <c r="KR9" s="83"/>
      <c r="KS9" s="78"/>
      <c r="KT9" s="79"/>
      <c r="KU9" s="79"/>
      <c r="KV9" s="80"/>
      <c r="KW9" s="81"/>
      <c r="KX9" s="82"/>
      <c r="KY9" s="83"/>
      <c r="KZ9" s="78"/>
      <c r="LA9" s="79"/>
      <c r="LB9" s="79"/>
      <c r="LC9" s="80"/>
      <c r="LD9" s="81"/>
      <c r="LE9" s="82"/>
      <c r="LF9" s="83"/>
      <c r="LG9" s="78"/>
      <c r="LH9" s="79"/>
      <c r="LI9" s="79"/>
      <c r="LJ9" s="80"/>
      <c r="LK9" s="81"/>
      <c r="LL9" s="82"/>
      <c r="LM9" s="83"/>
      <c r="LN9" s="78"/>
      <c r="LO9" s="79"/>
      <c r="LP9" s="79"/>
      <c r="LQ9" s="80"/>
      <c r="LR9" s="81"/>
      <c r="LS9" s="82"/>
      <c r="LT9" s="83"/>
      <c r="LU9" s="78"/>
      <c r="LV9" s="79"/>
      <c r="LW9" s="79"/>
      <c r="LX9" s="80"/>
      <c r="LY9" s="81"/>
      <c r="LZ9" s="82"/>
      <c r="MA9" s="83"/>
      <c r="MB9" s="78"/>
      <c r="MC9" s="79"/>
      <c r="MD9" s="79"/>
      <c r="ME9" s="80"/>
      <c r="MF9" s="81"/>
      <c r="MG9" s="82"/>
      <c r="MH9" s="83"/>
      <c r="MI9" s="78"/>
      <c r="MJ9" s="79"/>
      <c r="MK9" s="79"/>
      <c r="ML9" s="80"/>
      <c r="MM9" s="81"/>
      <c r="MN9" s="82"/>
      <c r="MO9" s="83"/>
      <c r="MP9" s="78"/>
      <c r="MQ9" s="79"/>
      <c r="MR9" s="79"/>
      <c r="MS9" s="80"/>
      <c r="MT9" s="81"/>
      <c r="MU9" s="82"/>
      <c r="MV9" s="83"/>
      <c r="MW9" s="78"/>
      <c r="MX9" s="79"/>
      <c r="MY9" s="79"/>
      <c r="MZ9" s="80"/>
      <c r="NA9" s="81"/>
      <c r="NB9" s="82"/>
      <c r="NC9" s="83"/>
      <c r="ND9" s="78"/>
      <c r="NE9" s="79"/>
      <c r="NF9" s="79"/>
      <c r="NG9" s="80"/>
      <c r="NH9" s="81"/>
      <c r="NI9" s="82"/>
      <c r="NJ9" s="83"/>
      <c r="NK9" s="78"/>
      <c r="NL9" s="79"/>
      <c r="NM9" s="79"/>
      <c r="NN9" s="80"/>
      <c r="NO9" s="81"/>
      <c r="NP9" s="82"/>
      <c r="NQ9" s="83"/>
    </row>
    <row r="10" spans="1:381" ht="15" customHeight="1" x14ac:dyDescent="0.15">
      <c r="A10" s="65">
        <v>5</v>
      </c>
      <c r="B10" s="76"/>
      <c r="C10" s="77">
        <v>4.1666666666666699E-2</v>
      </c>
      <c r="D10" s="78"/>
      <c r="E10" s="79"/>
      <c r="F10" s="79"/>
      <c r="G10" s="80"/>
      <c r="H10" s="81"/>
      <c r="I10" s="82"/>
      <c r="J10" s="83"/>
      <c r="K10" s="78"/>
      <c r="L10" s="79"/>
      <c r="M10" s="79"/>
      <c r="N10" s="80"/>
      <c r="O10" s="81"/>
      <c r="P10" s="82"/>
      <c r="Q10" s="83"/>
      <c r="R10" s="78"/>
      <c r="S10" s="79"/>
      <c r="T10" s="79"/>
      <c r="U10" s="80"/>
      <c r="V10" s="81"/>
      <c r="W10" s="82"/>
      <c r="X10" s="83"/>
      <c r="Y10" s="78"/>
      <c r="Z10" s="79"/>
      <c r="AA10" s="79"/>
      <c r="AB10" s="80"/>
      <c r="AC10" s="81"/>
      <c r="AD10" s="82"/>
      <c r="AE10" s="83"/>
      <c r="AF10" s="78"/>
      <c r="AG10" s="79"/>
      <c r="AH10" s="79"/>
      <c r="AI10" s="80"/>
      <c r="AJ10" s="81"/>
      <c r="AK10" s="82"/>
      <c r="AL10" s="83"/>
      <c r="AM10" s="78"/>
      <c r="AN10" s="79"/>
      <c r="AO10" s="79"/>
      <c r="AP10" s="80"/>
      <c r="AQ10" s="81"/>
      <c r="AR10" s="82"/>
      <c r="AS10" s="83"/>
      <c r="AT10" s="78"/>
      <c r="AU10" s="79"/>
      <c r="AV10" s="79"/>
      <c r="AW10" s="80"/>
      <c r="AX10" s="81"/>
      <c r="AY10" s="82"/>
      <c r="AZ10" s="83"/>
      <c r="BA10" s="78"/>
      <c r="BB10" s="79"/>
      <c r="BC10" s="79"/>
      <c r="BD10" s="80"/>
      <c r="BE10" s="81"/>
      <c r="BF10" s="82"/>
      <c r="BG10" s="83"/>
      <c r="BH10" s="78"/>
      <c r="BI10" s="79"/>
      <c r="BJ10" s="79"/>
      <c r="BK10" s="80"/>
      <c r="BL10" s="81"/>
      <c r="BM10" s="82"/>
      <c r="BN10" s="83"/>
      <c r="BO10" s="78"/>
      <c r="BP10" s="79"/>
      <c r="BQ10" s="79"/>
      <c r="BR10" s="80"/>
      <c r="BS10" s="81"/>
      <c r="BT10" s="82"/>
      <c r="BU10" s="83"/>
      <c r="BV10" s="78"/>
      <c r="BW10" s="79"/>
      <c r="BX10" s="79"/>
      <c r="BY10" s="80"/>
      <c r="BZ10" s="81"/>
      <c r="CA10" s="82"/>
      <c r="CB10" s="83"/>
      <c r="CC10" s="78"/>
      <c r="CD10" s="79"/>
      <c r="CE10" s="79"/>
      <c r="CF10" s="80"/>
      <c r="CG10" s="81"/>
      <c r="CH10" s="82"/>
      <c r="CI10" s="83"/>
      <c r="CJ10" s="78"/>
      <c r="CK10" s="79"/>
      <c r="CL10" s="79"/>
      <c r="CM10" s="80"/>
      <c r="CN10" s="81"/>
      <c r="CO10" s="82"/>
      <c r="CP10" s="83"/>
      <c r="CQ10" s="78"/>
      <c r="CR10" s="79"/>
      <c r="CS10" s="79"/>
      <c r="CT10" s="80"/>
      <c r="CU10" s="81"/>
      <c r="CV10" s="82"/>
      <c r="CW10" s="83"/>
      <c r="CX10" s="78"/>
      <c r="CY10" s="79"/>
      <c r="CZ10" s="79"/>
      <c r="DA10" s="80"/>
      <c r="DB10" s="81"/>
      <c r="DC10" s="82"/>
      <c r="DD10" s="83"/>
      <c r="DE10" s="78"/>
      <c r="DF10" s="79"/>
      <c r="DG10" s="79"/>
      <c r="DH10" s="80"/>
      <c r="DI10" s="81"/>
      <c r="DJ10" s="82"/>
      <c r="DK10" s="83"/>
      <c r="DL10" s="78"/>
      <c r="DM10" s="79"/>
      <c r="DN10" s="79"/>
      <c r="DO10" s="80"/>
      <c r="DP10" s="81"/>
      <c r="DQ10" s="82"/>
      <c r="DR10" s="83"/>
      <c r="DS10" s="78"/>
      <c r="DT10" s="79"/>
      <c r="DU10" s="79"/>
      <c r="DV10" s="80"/>
      <c r="DW10" s="81"/>
      <c r="DX10" s="82"/>
      <c r="DY10" s="83"/>
      <c r="DZ10" s="78"/>
      <c r="EA10" s="79"/>
      <c r="EB10" s="79"/>
      <c r="EC10" s="80"/>
      <c r="ED10" s="81"/>
      <c r="EE10" s="82"/>
      <c r="EF10" s="83"/>
      <c r="EG10" s="78"/>
      <c r="EH10" s="79"/>
      <c r="EI10" s="79"/>
      <c r="EJ10" s="80"/>
      <c r="EK10" s="81"/>
      <c r="EL10" s="82"/>
      <c r="EM10" s="83"/>
      <c r="EN10" s="78"/>
      <c r="EO10" s="79"/>
      <c r="EP10" s="79"/>
      <c r="EQ10" s="80"/>
      <c r="ER10" s="81"/>
      <c r="ES10" s="82"/>
      <c r="ET10" s="83"/>
      <c r="EU10" s="78"/>
      <c r="EV10" s="79"/>
      <c r="EW10" s="79"/>
      <c r="EX10" s="80"/>
      <c r="EY10" s="81"/>
      <c r="EZ10" s="82"/>
      <c r="FA10" s="83"/>
      <c r="FB10" s="78"/>
      <c r="FC10" s="79"/>
      <c r="FD10" s="79"/>
      <c r="FE10" s="80"/>
      <c r="FF10" s="81"/>
      <c r="FG10" s="82"/>
      <c r="FH10" s="83"/>
      <c r="FI10" s="78"/>
      <c r="FJ10" s="79"/>
      <c r="FK10" s="79"/>
      <c r="FL10" s="80"/>
      <c r="FM10" s="81"/>
      <c r="FN10" s="82"/>
      <c r="FO10" s="83"/>
      <c r="FP10" s="78"/>
      <c r="FQ10" s="79"/>
      <c r="FR10" s="79"/>
      <c r="FS10" s="80"/>
      <c r="FT10" s="81"/>
      <c r="FU10" s="82"/>
      <c r="FV10" s="83"/>
      <c r="FW10" s="78"/>
      <c r="FX10" s="79"/>
      <c r="FY10" s="79"/>
      <c r="FZ10" s="80"/>
      <c r="GA10" s="81"/>
      <c r="GB10" s="82"/>
      <c r="GC10" s="83"/>
      <c r="GD10" s="78"/>
      <c r="GE10" s="79"/>
      <c r="GF10" s="79"/>
      <c r="GG10" s="80"/>
      <c r="GH10" s="81"/>
      <c r="GI10" s="82"/>
      <c r="GJ10" s="83"/>
      <c r="GK10" s="78"/>
      <c r="GL10" s="79"/>
      <c r="GM10" s="79"/>
      <c r="GN10" s="80"/>
      <c r="GO10" s="81"/>
      <c r="GP10" s="82"/>
      <c r="GQ10" s="83"/>
      <c r="GR10" s="78"/>
      <c r="GS10" s="79"/>
      <c r="GT10" s="79"/>
      <c r="GU10" s="80"/>
      <c r="GV10" s="81"/>
      <c r="GW10" s="82"/>
      <c r="GX10" s="83"/>
      <c r="GY10" s="78"/>
      <c r="GZ10" s="79"/>
      <c r="HA10" s="79"/>
      <c r="HB10" s="80"/>
      <c r="HC10" s="81"/>
      <c r="HD10" s="82"/>
      <c r="HE10" s="83"/>
      <c r="HF10" s="78"/>
      <c r="HG10" s="79"/>
      <c r="HH10" s="79"/>
      <c r="HI10" s="80"/>
      <c r="HJ10" s="81"/>
      <c r="HK10" s="82"/>
      <c r="HL10" s="83"/>
      <c r="HM10" s="78"/>
      <c r="HN10" s="79"/>
      <c r="HO10" s="79"/>
      <c r="HP10" s="80"/>
      <c r="HQ10" s="81"/>
      <c r="HR10" s="82"/>
      <c r="HS10" s="83"/>
      <c r="HT10" s="78"/>
      <c r="HU10" s="79"/>
      <c r="HV10" s="79"/>
      <c r="HW10" s="80"/>
      <c r="HX10" s="81"/>
      <c r="HY10" s="82"/>
      <c r="HZ10" s="83"/>
      <c r="IA10" s="78"/>
      <c r="IB10" s="79"/>
      <c r="IC10" s="79"/>
      <c r="ID10" s="80"/>
      <c r="IE10" s="81"/>
      <c r="IF10" s="82"/>
      <c r="IG10" s="83"/>
      <c r="IH10" s="78"/>
      <c r="II10" s="79"/>
      <c r="IJ10" s="79"/>
      <c r="IK10" s="80"/>
      <c r="IL10" s="81"/>
      <c r="IM10" s="82"/>
      <c r="IN10" s="83"/>
      <c r="IO10" s="78"/>
      <c r="IP10" s="79"/>
      <c r="IQ10" s="79"/>
      <c r="IR10" s="80"/>
      <c r="IS10" s="81"/>
      <c r="IT10" s="82"/>
      <c r="IU10" s="83"/>
      <c r="IV10" s="78"/>
      <c r="IW10" s="79"/>
      <c r="IX10" s="79"/>
      <c r="IY10" s="80"/>
      <c r="IZ10" s="81"/>
      <c r="JA10" s="82"/>
      <c r="JB10" s="83"/>
      <c r="JC10" s="78"/>
      <c r="JD10" s="79"/>
      <c r="JE10" s="79"/>
      <c r="JF10" s="80"/>
      <c r="JG10" s="81"/>
      <c r="JH10" s="82"/>
      <c r="JI10" s="83"/>
      <c r="JJ10" s="78"/>
      <c r="JK10" s="79"/>
      <c r="JL10" s="79"/>
      <c r="JM10" s="80"/>
      <c r="JN10" s="81"/>
      <c r="JO10" s="82"/>
      <c r="JP10" s="83"/>
      <c r="JQ10" s="78"/>
      <c r="JR10" s="79"/>
      <c r="JS10" s="79"/>
      <c r="JT10" s="80"/>
      <c r="JU10" s="81"/>
      <c r="JV10" s="82"/>
      <c r="JW10" s="83"/>
      <c r="JX10" s="78"/>
      <c r="JY10" s="79"/>
      <c r="JZ10" s="79"/>
      <c r="KA10" s="80"/>
      <c r="KB10" s="81"/>
      <c r="KC10" s="82"/>
      <c r="KD10" s="83"/>
      <c r="KE10" s="78"/>
      <c r="KF10" s="79"/>
      <c r="KG10" s="79"/>
      <c r="KH10" s="80"/>
      <c r="KI10" s="81"/>
      <c r="KJ10" s="82"/>
      <c r="KK10" s="83"/>
      <c r="KL10" s="78"/>
      <c r="KM10" s="79"/>
      <c r="KN10" s="79"/>
      <c r="KO10" s="80"/>
      <c r="KP10" s="81"/>
      <c r="KQ10" s="82"/>
      <c r="KR10" s="83"/>
      <c r="KS10" s="78"/>
      <c r="KT10" s="79"/>
      <c r="KU10" s="79"/>
      <c r="KV10" s="80"/>
      <c r="KW10" s="81"/>
      <c r="KX10" s="82"/>
      <c r="KY10" s="83"/>
      <c r="KZ10" s="78"/>
      <c r="LA10" s="79"/>
      <c r="LB10" s="79"/>
      <c r="LC10" s="80"/>
      <c r="LD10" s="81"/>
      <c r="LE10" s="82"/>
      <c r="LF10" s="83"/>
      <c r="LG10" s="78"/>
      <c r="LH10" s="79"/>
      <c r="LI10" s="79"/>
      <c r="LJ10" s="80"/>
      <c r="LK10" s="81"/>
      <c r="LL10" s="82"/>
      <c r="LM10" s="83"/>
      <c r="LN10" s="78"/>
      <c r="LO10" s="79"/>
      <c r="LP10" s="79"/>
      <c r="LQ10" s="80"/>
      <c r="LR10" s="81"/>
      <c r="LS10" s="82"/>
      <c r="LT10" s="83"/>
      <c r="LU10" s="78"/>
      <c r="LV10" s="79"/>
      <c r="LW10" s="79"/>
      <c r="LX10" s="80"/>
      <c r="LY10" s="81"/>
      <c r="LZ10" s="82"/>
      <c r="MA10" s="83"/>
      <c r="MB10" s="78"/>
      <c r="MC10" s="79"/>
      <c r="MD10" s="79"/>
      <c r="ME10" s="80"/>
      <c r="MF10" s="81"/>
      <c r="MG10" s="82"/>
      <c r="MH10" s="83"/>
      <c r="MI10" s="78"/>
      <c r="MJ10" s="79"/>
      <c r="MK10" s="79"/>
      <c r="ML10" s="80"/>
      <c r="MM10" s="81"/>
      <c r="MN10" s="82"/>
      <c r="MO10" s="83"/>
      <c r="MP10" s="78"/>
      <c r="MQ10" s="79"/>
      <c r="MR10" s="79"/>
      <c r="MS10" s="80"/>
      <c r="MT10" s="81"/>
      <c r="MU10" s="82"/>
      <c r="MV10" s="83"/>
      <c r="MW10" s="78"/>
      <c r="MX10" s="79"/>
      <c r="MY10" s="79"/>
      <c r="MZ10" s="80"/>
      <c r="NA10" s="81"/>
      <c r="NB10" s="82"/>
      <c r="NC10" s="83"/>
      <c r="ND10" s="78"/>
      <c r="NE10" s="79"/>
      <c r="NF10" s="79"/>
      <c r="NG10" s="80"/>
      <c r="NH10" s="81"/>
      <c r="NI10" s="82"/>
      <c r="NJ10" s="83"/>
      <c r="NK10" s="78"/>
      <c r="NL10" s="79"/>
      <c r="NM10" s="79"/>
      <c r="NN10" s="80"/>
      <c r="NO10" s="81"/>
      <c r="NP10" s="82"/>
      <c r="NQ10" s="83"/>
    </row>
    <row r="11" spans="1:381" ht="15" customHeight="1" x14ac:dyDescent="0.15">
      <c r="A11" s="65">
        <v>6</v>
      </c>
      <c r="B11" s="76"/>
      <c r="C11" s="77"/>
      <c r="D11" s="78"/>
      <c r="E11" s="79"/>
      <c r="F11" s="79"/>
      <c r="G11" s="80"/>
      <c r="H11" s="81"/>
      <c r="I11" s="82"/>
      <c r="J11" s="83"/>
      <c r="K11" s="78"/>
      <c r="L11" s="79"/>
      <c r="M11" s="79"/>
      <c r="N11" s="80"/>
      <c r="O11" s="81"/>
      <c r="P11" s="82"/>
      <c r="Q11" s="83"/>
      <c r="R11" s="78"/>
      <c r="S11" s="79"/>
      <c r="T11" s="79"/>
      <c r="U11" s="80"/>
      <c r="V11" s="81"/>
      <c r="W11" s="82"/>
      <c r="X11" s="83"/>
      <c r="Y11" s="78"/>
      <c r="Z11" s="79"/>
      <c r="AA11" s="79"/>
      <c r="AB11" s="80"/>
      <c r="AC11" s="81"/>
      <c r="AD11" s="82"/>
      <c r="AE11" s="83"/>
      <c r="AF11" s="78"/>
      <c r="AG11" s="79"/>
      <c r="AH11" s="79"/>
      <c r="AI11" s="80"/>
      <c r="AJ11" s="81"/>
      <c r="AK11" s="82"/>
      <c r="AL11" s="83"/>
      <c r="AM11" s="78"/>
      <c r="AN11" s="79"/>
      <c r="AO11" s="79"/>
      <c r="AP11" s="80"/>
      <c r="AQ11" s="81"/>
      <c r="AR11" s="82"/>
      <c r="AS11" s="83"/>
      <c r="AT11" s="78"/>
      <c r="AU11" s="79"/>
      <c r="AV11" s="79"/>
      <c r="AW11" s="80"/>
      <c r="AX11" s="81"/>
      <c r="AY11" s="82"/>
      <c r="AZ11" s="83"/>
      <c r="BA11" s="78"/>
      <c r="BB11" s="79"/>
      <c r="BC11" s="79"/>
      <c r="BD11" s="80"/>
      <c r="BE11" s="81"/>
      <c r="BF11" s="82"/>
      <c r="BG11" s="83"/>
      <c r="BH11" s="78"/>
      <c r="BI11" s="79"/>
      <c r="BJ11" s="79"/>
      <c r="BK11" s="80"/>
      <c r="BL11" s="81"/>
      <c r="BM11" s="82"/>
      <c r="BN11" s="83"/>
      <c r="BO11" s="78"/>
      <c r="BP11" s="79"/>
      <c r="BQ11" s="79"/>
      <c r="BR11" s="80"/>
      <c r="BS11" s="81"/>
      <c r="BT11" s="82"/>
      <c r="BU11" s="83"/>
      <c r="BV11" s="78"/>
      <c r="BW11" s="79"/>
      <c r="BX11" s="79"/>
      <c r="BY11" s="80"/>
      <c r="BZ11" s="81"/>
      <c r="CA11" s="82"/>
      <c r="CB11" s="83"/>
      <c r="CC11" s="78"/>
      <c r="CD11" s="79"/>
      <c r="CE11" s="79"/>
      <c r="CF11" s="80"/>
      <c r="CG11" s="81"/>
      <c r="CH11" s="82"/>
      <c r="CI11" s="83"/>
      <c r="CJ11" s="78"/>
      <c r="CK11" s="79"/>
      <c r="CL11" s="79"/>
      <c r="CM11" s="80"/>
      <c r="CN11" s="81"/>
      <c r="CO11" s="82"/>
      <c r="CP11" s="83"/>
      <c r="CQ11" s="78"/>
      <c r="CR11" s="79"/>
      <c r="CS11" s="79"/>
      <c r="CT11" s="80"/>
      <c r="CU11" s="81"/>
      <c r="CV11" s="82"/>
      <c r="CW11" s="83"/>
      <c r="CX11" s="78"/>
      <c r="CY11" s="79"/>
      <c r="CZ11" s="79"/>
      <c r="DA11" s="80"/>
      <c r="DB11" s="81"/>
      <c r="DC11" s="82"/>
      <c r="DD11" s="83"/>
      <c r="DE11" s="78"/>
      <c r="DF11" s="79"/>
      <c r="DG11" s="79"/>
      <c r="DH11" s="80"/>
      <c r="DI11" s="81"/>
      <c r="DJ11" s="82"/>
      <c r="DK11" s="83"/>
      <c r="DL11" s="78"/>
      <c r="DM11" s="79"/>
      <c r="DN11" s="79"/>
      <c r="DO11" s="80"/>
      <c r="DP11" s="81"/>
      <c r="DQ11" s="82"/>
      <c r="DR11" s="83"/>
      <c r="DS11" s="78"/>
      <c r="DT11" s="79"/>
      <c r="DU11" s="79"/>
      <c r="DV11" s="80"/>
      <c r="DW11" s="81"/>
      <c r="DX11" s="82"/>
      <c r="DY11" s="83"/>
      <c r="DZ11" s="78"/>
      <c r="EA11" s="79"/>
      <c r="EB11" s="79"/>
      <c r="EC11" s="80"/>
      <c r="ED11" s="81"/>
      <c r="EE11" s="82"/>
      <c r="EF11" s="83"/>
      <c r="EG11" s="78"/>
      <c r="EH11" s="79"/>
      <c r="EI11" s="79"/>
      <c r="EJ11" s="80"/>
      <c r="EK11" s="81"/>
      <c r="EL11" s="82"/>
      <c r="EM11" s="83"/>
      <c r="EN11" s="78"/>
      <c r="EO11" s="79"/>
      <c r="EP11" s="79"/>
      <c r="EQ11" s="80"/>
      <c r="ER11" s="81"/>
      <c r="ES11" s="82"/>
      <c r="ET11" s="83"/>
      <c r="EU11" s="78"/>
      <c r="EV11" s="79"/>
      <c r="EW11" s="79"/>
      <c r="EX11" s="80"/>
      <c r="EY11" s="81"/>
      <c r="EZ11" s="82"/>
      <c r="FA11" s="83"/>
      <c r="FB11" s="78"/>
      <c r="FC11" s="79"/>
      <c r="FD11" s="79"/>
      <c r="FE11" s="80"/>
      <c r="FF11" s="81"/>
      <c r="FG11" s="82"/>
      <c r="FH11" s="83"/>
      <c r="FI11" s="78"/>
      <c r="FJ11" s="79"/>
      <c r="FK11" s="79"/>
      <c r="FL11" s="80"/>
      <c r="FM11" s="81"/>
      <c r="FN11" s="82"/>
      <c r="FO11" s="83"/>
      <c r="FP11" s="78"/>
      <c r="FQ11" s="79"/>
      <c r="FR11" s="79"/>
      <c r="FS11" s="80"/>
      <c r="FT11" s="81"/>
      <c r="FU11" s="82"/>
      <c r="FV11" s="83"/>
      <c r="FW11" s="78"/>
      <c r="FX11" s="79"/>
      <c r="FY11" s="79"/>
      <c r="FZ11" s="80"/>
      <c r="GA11" s="81"/>
      <c r="GB11" s="82"/>
      <c r="GC11" s="83"/>
      <c r="GD11" s="78"/>
      <c r="GE11" s="79"/>
      <c r="GF11" s="79"/>
      <c r="GG11" s="80"/>
      <c r="GH11" s="81"/>
      <c r="GI11" s="82"/>
      <c r="GJ11" s="83"/>
      <c r="GK11" s="78"/>
      <c r="GL11" s="79"/>
      <c r="GM11" s="79"/>
      <c r="GN11" s="80"/>
      <c r="GO11" s="81"/>
      <c r="GP11" s="82"/>
      <c r="GQ11" s="83"/>
      <c r="GR11" s="78"/>
      <c r="GS11" s="79"/>
      <c r="GT11" s="79"/>
      <c r="GU11" s="80"/>
      <c r="GV11" s="81"/>
      <c r="GW11" s="82"/>
      <c r="GX11" s="83"/>
      <c r="GY11" s="78"/>
      <c r="GZ11" s="79"/>
      <c r="HA11" s="79"/>
      <c r="HB11" s="80"/>
      <c r="HC11" s="81"/>
      <c r="HD11" s="82"/>
      <c r="HE11" s="83"/>
      <c r="HF11" s="78"/>
      <c r="HG11" s="79"/>
      <c r="HH11" s="79"/>
      <c r="HI11" s="80"/>
      <c r="HJ11" s="81"/>
      <c r="HK11" s="82"/>
      <c r="HL11" s="83"/>
      <c r="HM11" s="78"/>
      <c r="HN11" s="79"/>
      <c r="HO11" s="79"/>
      <c r="HP11" s="80"/>
      <c r="HQ11" s="81"/>
      <c r="HR11" s="82"/>
      <c r="HS11" s="83"/>
      <c r="HT11" s="78"/>
      <c r="HU11" s="79"/>
      <c r="HV11" s="79"/>
      <c r="HW11" s="80"/>
      <c r="HX11" s="81"/>
      <c r="HY11" s="82"/>
      <c r="HZ11" s="83"/>
      <c r="IA11" s="78"/>
      <c r="IB11" s="79"/>
      <c r="IC11" s="79"/>
      <c r="ID11" s="80"/>
      <c r="IE11" s="81"/>
      <c r="IF11" s="82"/>
      <c r="IG11" s="83"/>
      <c r="IH11" s="78"/>
      <c r="II11" s="79"/>
      <c r="IJ11" s="79"/>
      <c r="IK11" s="80"/>
      <c r="IL11" s="81"/>
      <c r="IM11" s="82"/>
      <c r="IN11" s="83"/>
      <c r="IO11" s="78"/>
      <c r="IP11" s="79"/>
      <c r="IQ11" s="79"/>
      <c r="IR11" s="80"/>
      <c r="IS11" s="81"/>
      <c r="IT11" s="82"/>
      <c r="IU11" s="83"/>
      <c r="IV11" s="78"/>
      <c r="IW11" s="79"/>
      <c r="IX11" s="79"/>
      <c r="IY11" s="80"/>
      <c r="IZ11" s="81"/>
      <c r="JA11" s="82"/>
      <c r="JB11" s="83"/>
      <c r="JC11" s="78"/>
      <c r="JD11" s="79"/>
      <c r="JE11" s="79"/>
      <c r="JF11" s="80"/>
      <c r="JG11" s="81"/>
      <c r="JH11" s="82"/>
      <c r="JI11" s="83"/>
      <c r="JJ11" s="78"/>
      <c r="JK11" s="79"/>
      <c r="JL11" s="79"/>
      <c r="JM11" s="80"/>
      <c r="JN11" s="81"/>
      <c r="JO11" s="82"/>
      <c r="JP11" s="83"/>
      <c r="JQ11" s="78"/>
      <c r="JR11" s="79"/>
      <c r="JS11" s="79"/>
      <c r="JT11" s="80"/>
      <c r="JU11" s="81"/>
      <c r="JV11" s="82"/>
      <c r="JW11" s="83"/>
      <c r="JX11" s="78"/>
      <c r="JY11" s="79"/>
      <c r="JZ11" s="79"/>
      <c r="KA11" s="80"/>
      <c r="KB11" s="81"/>
      <c r="KC11" s="82"/>
      <c r="KD11" s="83"/>
      <c r="KE11" s="78"/>
      <c r="KF11" s="79"/>
      <c r="KG11" s="79"/>
      <c r="KH11" s="80"/>
      <c r="KI11" s="81"/>
      <c r="KJ11" s="82"/>
      <c r="KK11" s="83"/>
      <c r="KL11" s="78"/>
      <c r="KM11" s="79"/>
      <c r="KN11" s="79"/>
      <c r="KO11" s="80"/>
      <c r="KP11" s="81"/>
      <c r="KQ11" s="82"/>
      <c r="KR11" s="83"/>
      <c r="KS11" s="78"/>
      <c r="KT11" s="79"/>
      <c r="KU11" s="79"/>
      <c r="KV11" s="80"/>
      <c r="KW11" s="81"/>
      <c r="KX11" s="82"/>
      <c r="KY11" s="83"/>
      <c r="KZ11" s="78"/>
      <c r="LA11" s="79"/>
      <c r="LB11" s="79"/>
      <c r="LC11" s="80"/>
      <c r="LD11" s="81"/>
      <c r="LE11" s="82"/>
      <c r="LF11" s="83"/>
      <c r="LG11" s="78"/>
      <c r="LH11" s="79"/>
      <c r="LI11" s="79"/>
      <c r="LJ11" s="80"/>
      <c r="LK11" s="81"/>
      <c r="LL11" s="82"/>
      <c r="LM11" s="83"/>
      <c r="LN11" s="78"/>
      <c r="LO11" s="79"/>
      <c r="LP11" s="79"/>
      <c r="LQ11" s="80"/>
      <c r="LR11" s="81"/>
      <c r="LS11" s="82"/>
      <c r="LT11" s="83"/>
      <c r="LU11" s="78"/>
      <c r="LV11" s="79"/>
      <c r="LW11" s="79"/>
      <c r="LX11" s="80"/>
      <c r="LY11" s="81"/>
      <c r="LZ11" s="82"/>
      <c r="MA11" s="83"/>
      <c r="MB11" s="78"/>
      <c r="MC11" s="79"/>
      <c r="MD11" s="79"/>
      <c r="ME11" s="80"/>
      <c r="MF11" s="81"/>
      <c r="MG11" s="82"/>
      <c r="MH11" s="83"/>
      <c r="MI11" s="78"/>
      <c r="MJ11" s="79"/>
      <c r="MK11" s="79"/>
      <c r="ML11" s="80"/>
      <c r="MM11" s="81"/>
      <c r="MN11" s="82"/>
      <c r="MO11" s="83"/>
      <c r="MP11" s="78"/>
      <c r="MQ11" s="79"/>
      <c r="MR11" s="79"/>
      <c r="MS11" s="80"/>
      <c r="MT11" s="81"/>
      <c r="MU11" s="82"/>
      <c r="MV11" s="83"/>
      <c r="MW11" s="78"/>
      <c r="MX11" s="79"/>
      <c r="MY11" s="79"/>
      <c r="MZ11" s="80"/>
      <c r="NA11" s="81"/>
      <c r="NB11" s="82"/>
      <c r="NC11" s="83"/>
      <c r="ND11" s="78"/>
      <c r="NE11" s="79"/>
      <c r="NF11" s="79"/>
      <c r="NG11" s="80"/>
      <c r="NH11" s="81"/>
      <c r="NI11" s="82"/>
      <c r="NJ11" s="83"/>
      <c r="NK11" s="78"/>
      <c r="NL11" s="79"/>
      <c r="NM11" s="79"/>
      <c r="NN11" s="80"/>
      <c r="NO11" s="81"/>
      <c r="NP11" s="82"/>
      <c r="NQ11" s="83"/>
    </row>
    <row r="12" spans="1:381" ht="15" customHeight="1" x14ac:dyDescent="0.15">
      <c r="A12" s="65">
        <v>7</v>
      </c>
      <c r="B12" s="76"/>
      <c r="C12" s="77">
        <v>8.3333333333333301E-2</v>
      </c>
      <c r="D12" s="78"/>
      <c r="E12" s="79"/>
      <c r="F12" s="79"/>
      <c r="G12" s="80"/>
      <c r="H12" s="81"/>
      <c r="I12" s="82"/>
      <c r="J12" s="83"/>
      <c r="K12" s="78"/>
      <c r="L12" s="79"/>
      <c r="M12" s="79"/>
      <c r="N12" s="80"/>
      <c r="O12" s="81"/>
      <c r="P12" s="82"/>
      <c r="Q12" s="83"/>
      <c r="R12" s="78"/>
      <c r="S12" s="79"/>
      <c r="T12" s="79"/>
      <c r="U12" s="80"/>
      <c r="V12" s="81"/>
      <c r="W12" s="82"/>
      <c r="X12" s="83"/>
      <c r="Y12" s="78"/>
      <c r="Z12" s="79"/>
      <c r="AA12" s="79"/>
      <c r="AB12" s="80"/>
      <c r="AC12" s="81"/>
      <c r="AD12" s="82"/>
      <c r="AE12" s="83"/>
      <c r="AF12" s="78"/>
      <c r="AG12" s="79"/>
      <c r="AH12" s="79"/>
      <c r="AI12" s="80"/>
      <c r="AJ12" s="81"/>
      <c r="AK12" s="82"/>
      <c r="AL12" s="83"/>
      <c r="AM12" s="78"/>
      <c r="AN12" s="79"/>
      <c r="AO12" s="79"/>
      <c r="AP12" s="80"/>
      <c r="AQ12" s="81"/>
      <c r="AR12" s="82"/>
      <c r="AS12" s="83"/>
      <c r="AT12" s="78"/>
      <c r="AU12" s="79"/>
      <c r="AV12" s="79"/>
      <c r="AW12" s="80"/>
      <c r="AX12" s="81"/>
      <c r="AY12" s="82"/>
      <c r="AZ12" s="83"/>
      <c r="BA12" s="78"/>
      <c r="BB12" s="79"/>
      <c r="BC12" s="79"/>
      <c r="BD12" s="80"/>
      <c r="BE12" s="81"/>
      <c r="BF12" s="82"/>
      <c r="BG12" s="83"/>
      <c r="BH12" s="78"/>
      <c r="BI12" s="79"/>
      <c r="BJ12" s="79"/>
      <c r="BK12" s="80"/>
      <c r="BL12" s="81"/>
      <c r="BM12" s="82"/>
      <c r="BN12" s="83"/>
      <c r="BO12" s="78"/>
      <c r="BP12" s="79"/>
      <c r="BQ12" s="79"/>
      <c r="BR12" s="80"/>
      <c r="BS12" s="81"/>
      <c r="BT12" s="82"/>
      <c r="BU12" s="83"/>
      <c r="BV12" s="78"/>
      <c r="BW12" s="79"/>
      <c r="BX12" s="79"/>
      <c r="BY12" s="80"/>
      <c r="BZ12" s="81"/>
      <c r="CA12" s="82"/>
      <c r="CB12" s="83"/>
      <c r="CC12" s="78"/>
      <c r="CD12" s="79"/>
      <c r="CE12" s="79"/>
      <c r="CF12" s="80"/>
      <c r="CG12" s="81"/>
      <c r="CH12" s="82"/>
      <c r="CI12" s="83"/>
      <c r="CJ12" s="78"/>
      <c r="CK12" s="79"/>
      <c r="CL12" s="79"/>
      <c r="CM12" s="80"/>
      <c r="CN12" s="81"/>
      <c r="CO12" s="82"/>
      <c r="CP12" s="83"/>
      <c r="CQ12" s="78"/>
      <c r="CR12" s="79"/>
      <c r="CS12" s="79"/>
      <c r="CT12" s="80"/>
      <c r="CU12" s="81"/>
      <c r="CV12" s="82"/>
      <c r="CW12" s="83"/>
      <c r="CX12" s="78"/>
      <c r="CY12" s="79"/>
      <c r="CZ12" s="79"/>
      <c r="DA12" s="80"/>
      <c r="DB12" s="81"/>
      <c r="DC12" s="82"/>
      <c r="DD12" s="83"/>
      <c r="DE12" s="78"/>
      <c r="DF12" s="79"/>
      <c r="DG12" s="79"/>
      <c r="DH12" s="80"/>
      <c r="DI12" s="81"/>
      <c r="DJ12" s="82"/>
      <c r="DK12" s="83"/>
      <c r="DL12" s="78"/>
      <c r="DM12" s="79"/>
      <c r="DN12" s="79"/>
      <c r="DO12" s="80"/>
      <c r="DP12" s="81"/>
      <c r="DQ12" s="82"/>
      <c r="DR12" s="83"/>
      <c r="DS12" s="78"/>
      <c r="DT12" s="79"/>
      <c r="DU12" s="79"/>
      <c r="DV12" s="80"/>
      <c r="DW12" s="81"/>
      <c r="DX12" s="82"/>
      <c r="DY12" s="83"/>
      <c r="DZ12" s="78"/>
      <c r="EA12" s="79"/>
      <c r="EB12" s="79"/>
      <c r="EC12" s="80"/>
      <c r="ED12" s="81"/>
      <c r="EE12" s="82"/>
      <c r="EF12" s="83"/>
      <c r="EG12" s="78"/>
      <c r="EH12" s="79"/>
      <c r="EI12" s="79"/>
      <c r="EJ12" s="80"/>
      <c r="EK12" s="81"/>
      <c r="EL12" s="82"/>
      <c r="EM12" s="83"/>
      <c r="EN12" s="78"/>
      <c r="EO12" s="79"/>
      <c r="EP12" s="79"/>
      <c r="EQ12" s="80"/>
      <c r="ER12" s="81"/>
      <c r="ES12" s="82"/>
      <c r="ET12" s="83"/>
      <c r="EU12" s="78"/>
      <c r="EV12" s="79"/>
      <c r="EW12" s="79"/>
      <c r="EX12" s="80"/>
      <c r="EY12" s="81"/>
      <c r="EZ12" s="82"/>
      <c r="FA12" s="83"/>
      <c r="FB12" s="78"/>
      <c r="FC12" s="79"/>
      <c r="FD12" s="79"/>
      <c r="FE12" s="80"/>
      <c r="FF12" s="81"/>
      <c r="FG12" s="82"/>
      <c r="FH12" s="83"/>
      <c r="FI12" s="78"/>
      <c r="FJ12" s="79"/>
      <c r="FK12" s="79"/>
      <c r="FL12" s="80"/>
      <c r="FM12" s="81"/>
      <c r="FN12" s="82"/>
      <c r="FO12" s="83"/>
      <c r="FP12" s="78"/>
      <c r="FQ12" s="79"/>
      <c r="FR12" s="79"/>
      <c r="FS12" s="80"/>
      <c r="FT12" s="81"/>
      <c r="FU12" s="82"/>
      <c r="FV12" s="83"/>
      <c r="FW12" s="78"/>
      <c r="FX12" s="79"/>
      <c r="FY12" s="79"/>
      <c r="FZ12" s="80"/>
      <c r="GA12" s="81"/>
      <c r="GB12" s="82"/>
      <c r="GC12" s="83"/>
      <c r="GD12" s="78"/>
      <c r="GE12" s="79"/>
      <c r="GF12" s="79"/>
      <c r="GG12" s="80"/>
      <c r="GH12" s="81"/>
      <c r="GI12" s="82"/>
      <c r="GJ12" s="83"/>
      <c r="GK12" s="78"/>
      <c r="GL12" s="79"/>
      <c r="GM12" s="79"/>
      <c r="GN12" s="80"/>
      <c r="GO12" s="81"/>
      <c r="GP12" s="82"/>
      <c r="GQ12" s="83"/>
      <c r="GR12" s="78"/>
      <c r="GS12" s="79"/>
      <c r="GT12" s="79"/>
      <c r="GU12" s="80"/>
      <c r="GV12" s="81"/>
      <c r="GW12" s="82"/>
      <c r="GX12" s="83"/>
      <c r="GY12" s="78"/>
      <c r="GZ12" s="79"/>
      <c r="HA12" s="79"/>
      <c r="HB12" s="80"/>
      <c r="HC12" s="81"/>
      <c r="HD12" s="82"/>
      <c r="HE12" s="83"/>
      <c r="HF12" s="78"/>
      <c r="HG12" s="79"/>
      <c r="HH12" s="79"/>
      <c r="HI12" s="80"/>
      <c r="HJ12" s="81"/>
      <c r="HK12" s="82"/>
      <c r="HL12" s="83"/>
      <c r="HM12" s="78"/>
      <c r="HN12" s="79"/>
      <c r="HO12" s="79"/>
      <c r="HP12" s="80"/>
      <c r="HQ12" s="81"/>
      <c r="HR12" s="82"/>
      <c r="HS12" s="83"/>
      <c r="HT12" s="78"/>
      <c r="HU12" s="79"/>
      <c r="HV12" s="79"/>
      <c r="HW12" s="80"/>
      <c r="HX12" s="81"/>
      <c r="HY12" s="82"/>
      <c r="HZ12" s="83"/>
      <c r="IA12" s="78"/>
      <c r="IB12" s="79"/>
      <c r="IC12" s="79"/>
      <c r="ID12" s="80"/>
      <c r="IE12" s="81"/>
      <c r="IF12" s="82"/>
      <c r="IG12" s="83"/>
      <c r="IH12" s="78"/>
      <c r="II12" s="79"/>
      <c r="IJ12" s="79"/>
      <c r="IK12" s="80"/>
      <c r="IL12" s="81"/>
      <c r="IM12" s="82"/>
      <c r="IN12" s="83"/>
      <c r="IO12" s="78"/>
      <c r="IP12" s="79"/>
      <c r="IQ12" s="79"/>
      <c r="IR12" s="80"/>
      <c r="IS12" s="81"/>
      <c r="IT12" s="82"/>
      <c r="IU12" s="83"/>
      <c r="IV12" s="78"/>
      <c r="IW12" s="79"/>
      <c r="IX12" s="79"/>
      <c r="IY12" s="80"/>
      <c r="IZ12" s="81"/>
      <c r="JA12" s="82"/>
      <c r="JB12" s="83"/>
      <c r="JC12" s="78"/>
      <c r="JD12" s="79"/>
      <c r="JE12" s="79"/>
      <c r="JF12" s="80"/>
      <c r="JG12" s="81"/>
      <c r="JH12" s="82"/>
      <c r="JI12" s="83"/>
      <c r="JJ12" s="78"/>
      <c r="JK12" s="79"/>
      <c r="JL12" s="79"/>
      <c r="JM12" s="80"/>
      <c r="JN12" s="81"/>
      <c r="JO12" s="82"/>
      <c r="JP12" s="83"/>
      <c r="JQ12" s="78"/>
      <c r="JR12" s="79"/>
      <c r="JS12" s="79"/>
      <c r="JT12" s="80"/>
      <c r="JU12" s="81"/>
      <c r="JV12" s="82"/>
      <c r="JW12" s="83"/>
      <c r="JX12" s="78"/>
      <c r="JY12" s="79"/>
      <c r="JZ12" s="79"/>
      <c r="KA12" s="80"/>
      <c r="KB12" s="81"/>
      <c r="KC12" s="82"/>
      <c r="KD12" s="83"/>
      <c r="KE12" s="78"/>
      <c r="KF12" s="79"/>
      <c r="KG12" s="79"/>
      <c r="KH12" s="80"/>
      <c r="KI12" s="81"/>
      <c r="KJ12" s="82"/>
      <c r="KK12" s="83"/>
      <c r="KL12" s="78"/>
      <c r="KM12" s="79"/>
      <c r="KN12" s="79"/>
      <c r="KO12" s="80"/>
      <c r="KP12" s="81"/>
      <c r="KQ12" s="82"/>
      <c r="KR12" s="83"/>
      <c r="KS12" s="78"/>
      <c r="KT12" s="79"/>
      <c r="KU12" s="79"/>
      <c r="KV12" s="80"/>
      <c r="KW12" s="81"/>
      <c r="KX12" s="82"/>
      <c r="KY12" s="83"/>
      <c r="KZ12" s="78"/>
      <c r="LA12" s="79"/>
      <c r="LB12" s="79"/>
      <c r="LC12" s="80"/>
      <c r="LD12" s="81"/>
      <c r="LE12" s="82"/>
      <c r="LF12" s="83"/>
      <c r="LG12" s="78"/>
      <c r="LH12" s="79"/>
      <c r="LI12" s="79"/>
      <c r="LJ12" s="80"/>
      <c r="LK12" s="81"/>
      <c r="LL12" s="82"/>
      <c r="LM12" s="83"/>
      <c r="LN12" s="78"/>
      <c r="LO12" s="79"/>
      <c r="LP12" s="79"/>
      <c r="LQ12" s="80"/>
      <c r="LR12" s="81"/>
      <c r="LS12" s="82"/>
      <c r="LT12" s="83"/>
      <c r="LU12" s="78"/>
      <c r="LV12" s="79"/>
      <c r="LW12" s="79"/>
      <c r="LX12" s="80"/>
      <c r="LY12" s="81"/>
      <c r="LZ12" s="82"/>
      <c r="MA12" s="83"/>
      <c r="MB12" s="78"/>
      <c r="MC12" s="79"/>
      <c r="MD12" s="79"/>
      <c r="ME12" s="80"/>
      <c r="MF12" s="81"/>
      <c r="MG12" s="82"/>
      <c r="MH12" s="83"/>
      <c r="MI12" s="78"/>
      <c r="MJ12" s="79"/>
      <c r="MK12" s="79"/>
      <c r="ML12" s="80"/>
      <c r="MM12" s="81"/>
      <c r="MN12" s="82"/>
      <c r="MO12" s="83"/>
      <c r="MP12" s="78"/>
      <c r="MQ12" s="79"/>
      <c r="MR12" s="79"/>
      <c r="MS12" s="80"/>
      <c r="MT12" s="81"/>
      <c r="MU12" s="82"/>
      <c r="MV12" s="83"/>
      <c r="MW12" s="78"/>
      <c r="MX12" s="79"/>
      <c r="MY12" s="79"/>
      <c r="MZ12" s="80"/>
      <c r="NA12" s="81"/>
      <c r="NB12" s="82"/>
      <c r="NC12" s="83"/>
      <c r="ND12" s="78"/>
      <c r="NE12" s="79"/>
      <c r="NF12" s="79"/>
      <c r="NG12" s="80"/>
      <c r="NH12" s="81"/>
      <c r="NI12" s="82"/>
      <c r="NJ12" s="83"/>
      <c r="NK12" s="78"/>
      <c r="NL12" s="79"/>
      <c r="NM12" s="79"/>
      <c r="NN12" s="80"/>
      <c r="NO12" s="81"/>
      <c r="NP12" s="82"/>
      <c r="NQ12" s="83"/>
    </row>
    <row r="13" spans="1:381" ht="15" customHeight="1" x14ac:dyDescent="0.15">
      <c r="A13" s="65">
        <v>8</v>
      </c>
      <c r="B13" s="76"/>
      <c r="C13" s="77"/>
      <c r="D13" s="78"/>
      <c r="E13" s="79"/>
      <c r="F13" s="79"/>
      <c r="G13" s="80"/>
      <c r="H13" s="81"/>
      <c r="I13" s="82"/>
      <c r="J13" s="83"/>
      <c r="K13" s="78"/>
      <c r="L13" s="79"/>
      <c r="M13" s="79"/>
      <c r="N13" s="80"/>
      <c r="O13" s="81"/>
      <c r="P13" s="82"/>
      <c r="Q13" s="83"/>
      <c r="R13" s="78"/>
      <c r="S13" s="79"/>
      <c r="T13" s="79"/>
      <c r="U13" s="80"/>
      <c r="V13" s="81"/>
      <c r="W13" s="82"/>
      <c r="X13" s="83"/>
      <c r="Y13" s="78"/>
      <c r="Z13" s="79"/>
      <c r="AA13" s="79"/>
      <c r="AB13" s="80"/>
      <c r="AC13" s="81"/>
      <c r="AD13" s="82"/>
      <c r="AE13" s="83"/>
      <c r="AF13" s="78"/>
      <c r="AG13" s="79"/>
      <c r="AH13" s="79"/>
      <c r="AI13" s="80"/>
      <c r="AJ13" s="81"/>
      <c r="AK13" s="82"/>
      <c r="AL13" s="83"/>
      <c r="AM13" s="78"/>
      <c r="AN13" s="79"/>
      <c r="AO13" s="79"/>
      <c r="AP13" s="80"/>
      <c r="AQ13" s="81"/>
      <c r="AR13" s="82"/>
      <c r="AS13" s="83"/>
      <c r="AT13" s="78"/>
      <c r="AU13" s="79"/>
      <c r="AV13" s="79"/>
      <c r="AW13" s="80"/>
      <c r="AX13" s="81"/>
      <c r="AY13" s="82"/>
      <c r="AZ13" s="83"/>
      <c r="BA13" s="78"/>
      <c r="BB13" s="79"/>
      <c r="BC13" s="79"/>
      <c r="BD13" s="80"/>
      <c r="BE13" s="81"/>
      <c r="BF13" s="82"/>
      <c r="BG13" s="83"/>
      <c r="BH13" s="78"/>
      <c r="BI13" s="79"/>
      <c r="BJ13" s="79"/>
      <c r="BK13" s="80"/>
      <c r="BL13" s="81"/>
      <c r="BM13" s="82"/>
      <c r="BN13" s="83"/>
      <c r="BO13" s="78"/>
      <c r="BP13" s="79"/>
      <c r="BQ13" s="79"/>
      <c r="BR13" s="80"/>
      <c r="BS13" s="81"/>
      <c r="BT13" s="82"/>
      <c r="BU13" s="83"/>
      <c r="BV13" s="78"/>
      <c r="BW13" s="79"/>
      <c r="BX13" s="79"/>
      <c r="BY13" s="80"/>
      <c r="BZ13" s="81"/>
      <c r="CA13" s="82"/>
      <c r="CB13" s="83"/>
      <c r="CC13" s="78"/>
      <c r="CD13" s="79"/>
      <c r="CE13" s="79"/>
      <c r="CF13" s="80"/>
      <c r="CG13" s="81"/>
      <c r="CH13" s="82"/>
      <c r="CI13" s="83"/>
      <c r="CJ13" s="78"/>
      <c r="CK13" s="79"/>
      <c r="CL13" s="79"/>
      <c r="CM13" s="80"/>
      <c r="CN13" s="81"/>
      <c r="CO13" s="82"/>
      <c r="CP13" s="83"/>
      <c r="CQ13" s="78"/>
      <c r="CR13" s="79"/>
      <c r="CS13" s="79"/>
      <c r="CT13" s="80"/>
      <c r="CU13" s="81"/>
      <c r="CV13" s="82"/>
      <c r="CW13" s="83"/>
      <c r="CX13" s="78"/>
      <c r="CY13" s="79"/>
      <c r="CZ13" s="79"/>
      <c r="DA13" s="80"/>
      <c r="DB13" s="81"/>
      <c r="DC13" s="82"/>
      <c r="DD13" s="83"/>
      <c r="DE13" s="78"/>
      <c r="DF13" s="79"/>
      <c r="DG13" s="79"/>
      <c r="DH13" s="80"/>
      <c r="DI13" s="81"/>
      <c r="DJ13" s="82"/>
      <c r="DK13" s="83"/>
      <c r="DL13" s="78"/>
      <c r="DM13" s="79"/>
      <c r="DN13" s="79"/>
      <c r="DO13" s="80"/>
      <c r="DP13" s="81"/>
      <c r="DQ13" s="82"/>
      <c r="DR13" s="83"/>
      <c r="DS13" s="78"/>
      <c r="DT13" s="79"/>
      <c r="DU13" s="79"/>
      <c r="DV13" s="80"/>
      <c r="DW13" s="81"/>
      <c r="DX13" s="82"/>
      <c r="DY13" s="83"/>
      <c r="DZ13" s="78"/>
      <c r="EA13" s="79"/>
      <c r="EB13" s="79"/>
      <c r="EC13" s="80"/>
      <c r="ED13" s="81"/>
      <c r="EE13" s="82"/>
      <c r="EF13" s="83"/>
      <c r="EG13" s="78"/>
      <c r="EH13" s="79"/>
      <c r="EI13" s="79"/>
      <c r="EJ13" s="80"/>
      <c r="EK13" s="81"/>
      <c r="EL13" s="82"/>
      <c r="EM13" s="83"/>
      <c r="EN13" s="78"/>
      <c r="EO13" s="79"/>
      <c r="EP13" s="79"/>
      <c r="EQ13" s="80"/>
      <c r="ER13" s="81"/>
      <c r="ES13" s="82"/>
      <c r="ET13" s="83"/>
      <c r="EU13" s="78"/>
      <c r="EV13" s="79"/>
      <c r="EW13" s="79"/>
      <c r="EX13" s="80"/>
      <c r="EY13" s="81"/>
      <c r="EZ13" s="82"/>
      <c r="FA13" s="83"/>
      <c r="FB13" s="78"/>
      <c r="FC13" s="79"/>
      <c r="FD13" s="79"/>
      <c r="FE13" s="80"/>
      <c r="FF13" s="81"/>
      <c r="FG13" s="82"/>
      <c r="FH13" s="83"/>
      <c r="FI13" s="78"/>
      <c r="FJ13" s="79"/>
      <c r="FK13" s="79"/>
      <c r="FL13" s="80"/>
      <c r="FM13" s="81"/>
      <c r="FN13" s="82"/>
      <c r="FO13" s="83"/>
      <c r="FP13" s="78"/>
      <c r="FQ13" s="79"/>
      <c r="FR13" s="79"/>
      <c r="FS13" s="80"/>
      <c r="FT13" s="81"/>
      <c r="FU13" s="82"/>
      <c r="FV13" s="83"/>
      <c r="FW13" s="78"/>
      <c r="FX13" s="79"/>
      <c r="FY13" s="79"/>
      <c r="FZ13" s="80"/>
      <c r="GA13" s="81"/>
      <c r="GB13" s="82"/>
      <c r="GC13" s="83"/>
      <c r="GD13" s="78"/>
      <c r="GE13" s="79"/>
      <c r="GF13" s="79"/>
      <c r="GG13" s="80"/>
      <c r="GH13" s="81"/>
      <c r="GI13" s="82"/>
      <c r="GJ13" s="83"/>
      <c r="GK13" s="78"/>
      <c r="GL13" s="79"/>
      <c r="GM13" s="79"/>
      <c r="GN13" s="80"/>
      <c r="GO13" s="81"/>
      <c r="GP13" s="82"/>
      <c r="GQ13" s="83"/>
      <c r="GR13" s="78"/>
      <c r="GS13" s="79"/>
      <c r="GT13" s="79"/>
      <c r="GU13" s="80"/>
      <c r="GV13" s="81"/>
      <c r="GW13" s="82"/>
      <c r="GX13" s="83"/>
      <c r="GY13" s="78"/>
      <c r="GZ13" s="79"/>
      <c r="HA13" s="79"/>
      <c r="HB13" s="80"/>
      <c r="HC13" s="81"/>
      <c r="HD13" s="82"/>
      <c r="HE13" s="83"/>
      <c r="HF13" s="78"/>
      <c r="HG13" s="79"/>
      <c r="HH13" s="79"/>
      <c r="HI13" s="80"/>
      <c r="HJ13" s="81"/>
      <c r="HK13" s="82"/>
      <c r="HL13" s="83"/>
      <c r="HM13" s="78"/>
      <c r="HN13" s="79"/>
      <c r="HO13" s="79"/>
      <c r="HP13" s="80"/>
      <c r="HQ13" s="81"/>
      <c r="HR13" s="82"/>
      <c r="HS13" s="83"/>
      <c r="HT13" s="78"/>
      <c r="HU13" s="79"/>
      <c r="HV13" s="79"/>
      <c r="HW13" s="80"/>
      <c r="HX13" s="81"/>
      <c r="HY13" s="82"/>
      <c r="HZ13" s="83"/>
      <c r="IA13" s="78"/>
      <c r="IB13" s="79"/>
      <c r="IC13" s="79"/>
      <c r="ID13" s="80"/>
      <c r="IE13" s="81"/>
      <c r="IF13" s="82"/>
      <c r="IG13" s="83"/>
      <c r="IH13" s="78"/>
      <c r="II13" s="79"/>
      <c r="IJ13" s="79"/>
      <c r="IK13" s="80"/>
      <c r="IL13" s="81"/>
      <c r="IM13" s="82"/>
      <c r="IN13" s="83"/>
      <c r="IO13" s="78"/>
      <c r="IP13" s="79"/>
      <c r="IQ13" s="79"/>
      <c r="IR13" s="80"/>
      <c r="IS13" s="81"/>
      <c r="IT13" s="82"/>
      <c r="IU13" s="83"/>
      <c r="IV13" s="78"/>
      <c r="IW13" s="79"/>
      <c r="IX13" s="79"/>
      <c r="IY13" s="80"/>
      <c r="IZ13" s="81"/>
      <c r="JA13" s="82"/>
      <c r="JB13" s="83"/>
      <c r="JC13" s="78"/>
      <c r="JD13" s="79"/>
      <c r="JE13" s="79"/>
      <c r="JF13" s="80"/>
      <c r="JG13" s="81"/>
      <c r="JH13" s="82"/>
      <c r="JI13" s="83"/>
      <c r="JJ13" s="78"/>
      <c r="JK13" s="79"/>
      <c r="JL13" s="79"/>
      <c r="JM13" s="80"/>
      <c r="JN13" s="81"/>
      <c r="JO13" s="82"/>
      <c r="JP13" s="83"/>
      <c r="JQ13" s="78"/>
      <c r="JR13" s="79"/>
      <c r="JS13" s="79"/>
      <c r="JT13" s="80"/>
      <c r="JU13" s="81"/>
      <c r="JV13" s="82"/>
      <c r="JW13" s="83"/>
      <c r="JX13" s="78"/>
      <c r="JY13" s="79"/>
      <c r="JZ13" s="79"/>
      <c r="KA13" s="80"/>
      <c r="KB13" s="81"/>
      <c r="KC13" s="82"/>
      <c r="KD13" s="83"/>
      <c r="KE13" s="78"/>
      <c r="KF13" s="79"/>
      <c r="KG13" s="79"/>
      <c r="KH13" s="80"/>
      <c r="KI13" s="81"/>
      <c r="KJ13" s="82"/>
      <c r="KK13" s="83"/>
      <c r="KL13" s="78"/>
      <c r="KM13" s="79"/>
      <c r="KN13" s="79"/>
      <c r="KO13" s="80"/>
      <c r="KP13" s="81"/>
      <c r="KQ13" s="82"/>
      <c r="KR13" s="83"/>
      <c r="KS13" s="78"/>
      <c r="KT13" s="79"/>
      <c r="KU13" s="79"/>
      <c r="KV13" s="80"/>
      <c r="KW13" s="81"/>
      <c r="KX13" s="82"/>
      <c r="KY13" s="83"/>
      <c r="KZ13" s="78"/>
      <c r="LA13" s="79"/>
      <c r="LB13" s="79"/>
      <c r="LC13" s="80"/>
      <c r="LD13" s="81"/>
      <c r="LE13" s="82"/>
      <c r="LF13" s="83"/>
      <c r="LG13" s="78"/>
      <c r="LH13" s="79"/>
      <c r="LI13" s="79"/>
      <c r="LJ13" s="80"/>
      <c r="LK13" s="81"/>
      <c r="LL13" s="82"/>
      <c r="LM13" s="83"/>
      <c r="LN13" s="78"/>
      <c r="LO13" s="79"/>
      <c r="LP13" s="79"/>
      <c r="LQ13" s="80"/>
      <c r="LR13" s="81"/>
      <c r="LS13" s="82"/>
      <c r="LT13" s="83"/>
      <c r="LU13" s="78"/>
      <c r="LV13" s="79"/>
      <c r="LW13" s="79"/>
      <c r="LX13" s="80"/>
      <c r="LY13" s="81"/>
      <c r="LZ13" s="82"/>
      <c r="MA13" s="83"/>
      <c r="MB13" s="78"/>
      <c r="MC13" s="79"/>
      <c r="MD13" s="79"/>
      <c r="ME13" s="80"/>
      <c r="MF13" s="81"/>
      <c r="MG13" s="82"/>
      <c r="MH13" s="83"/>
      <c r="MI13" s="78"/>
      <c r="MJ13" s="79"/>
      <c r="MK13" s="79"/>
      <c r="ML13" s="80"/>
      <c r="MM13" s="81"/>
      <c r="MN13" s="82"/>
      <c r="MO13" s="83"/>
      <c r="MP13" s="78"/>
      <c r="MQ13" s="79"/>
      <c r="MR13" s="79"/>
      <c r="MS13" s="80"/>
      <c r="MT13" s="81"/>
      <c r="MU13" s="82"/>
      <c r="MV13" s="83"/>
      <c r="MW13" s="78"/>
      <c r="MX13" s="79"/>
      <c r="MY13" s="79"/>
      <c r="MZ13" s="80"/>
      <c r="NA13" s="81"/>
      <c r="NB13" s="82"/>
      <c r="NC13" s="83"/>
      <c r="ND13" s="78"/>
      <c r="NE13" s="79"/>
      <c r="NF13" s="79"/>
      <c r="NG13" s="80"/>
      <c r="NH13" s="81"/>
      <c r="NI13" s="82"/>
      <c r="NJ13" s="83"/>
      <c r="NK13" s="78"/>
      <c r="NL13" s="79"/>
      <c r="NM13" s="79"/>
      <c r="NN13" s="80"/>
      <c r="NO13" s="81"/>
      <c r="NP13" s="82"/>
      <c r="NQ13" s="83"/>
    </row>
    <row r="14" spans="1:381" ht="15" customHeight="1" x14ac:dyDescent="0.15">
      <c r="A14" s="65">
        <v>9</v>
      </c>
      <c r="B14" s="76"/>
      <c r="C14" s="77">
        <v>0.125</v>
      </c>
      <c r="D14" s="78"/>
      <c r="E14" s="79"/>
      <c r="F14" s="79"/>
      <c r="G14" s="80"/>
      <c r="H14" s="81"/>
      <c r="I14" s="82"/>
      <c r="J14" s="83"/>
      <c r="K14" s="78"/>
      <c r="L14" s="79"/>
      <c r="M14" s="79"/>
      <c r="N14" s="80"/>
      <c r="O14" s="81"/>
      <c r="P14" s="82"/>
      <c r="Q14" s="83"/>
      <c r="R14" s="78"/>
      <c r="S14" s="79"/>
      <c r="T14" s="79"/>
      <c r="U14" s="80"/>
      <c r="V14" s="81"/>
      <c r="W14" s="82"/>
      <c r="X14" s="83"/>
      <c r="Y14" s="78"/>
      <c r="Z14" s="79"/>
      <c r="AA14" s="79"/>
      <c r="AB14" s="80"/>
      <c r="AC14" s="81"/>
      <c r="AD14" s="82"/>
      <c r="AE14" s="83"/>
      <c r="AF14" s="78"/>
      <c r="AG14" s="79"/>
      <c r="AH14" s="79"/>
      <c r="AI14" s="80"/>
      <c r="AJ14" s="81"/>
      <c r="AK14" s="82"/>
      <c r="AL14" s="83"/>
      <c r="AM14" s="78"/>
      <c r="AN14" s="79"/>
      <c r="AO14" s="79"/>
      <c r="AP14" s="80"/>
      <c r="AQ14" s="81"/>
      <c r="AR14" s="82"/>
      <c r="AS14" s="83"/>
      <c r="AT14" s="78"/>
      <c r="AU14" s="79"/>
      <c r="AV14" s="79"/>
      <c r="AW14" s="80"/>
      <c r="AX14" s="81"/>
      <c r="AY14" s="82"/>
      <c r="AZ14" s="83"/>
      <c r="BA14" s="78"/>
      <c r="BB14" s="79"/>
      <c r="BC14" s="79"/>
      <c r="BD14" s="80"/>
      <c r="BE14" s="81"/>
      <c r="BF14" s="82"/>
      <c r="BG14" s="83"/>
      <c r="BH14" s="78"/>
      <c r="BI14" s="79"/>
      <c r="BJ14" s="79"/>
      <c r="BK14" s="80"/>
      <c r="BL14" s="81"/>
      <c r="BM14" s="82"/>
      <c r="BN14" s="83"/>
      <c r="BO14" s="78"/>
      <c r="BP14" s="79"/>
      <c r="BQ14" s="79"/>
      <c r="BR14" s="80"/>
      <c r="BS14" s="81"/>
      <c r="BT14" s="82"/>
      <c r="BU14" s="83"/>
      <c r="BV14" s="78"/>
      <c r="BW14" s="79"/>
      <c r="BX14" s="79"/>
      <c r="BY14" s="80"/>
      <c r="BZ14" s="81"/>
      <c r="CA14" s="82"/>
      <c r="CB14" s="83"/>
      <c r="CC14" s="78"/>
      <c r="CD14" s="79"/>
      <c r="CE14" s="79"/>
      <c r="CF14" s="80"/>
      <c r="CG14" s="81"/>
      <c r="CH14" s="82"/>
      <c r="CI14" s="83"/>
      <c r="CJ14" s="78"/>
      <c r="CK14" s="79"/>
      <c r="CL14" s="79"/>
      <c r="CM14" s="80"/>
      <c r="CN14" s="81"/>
      <c r="CO14" s="82"/>
      <c r="CP14" s="83"/>
      <c r="CQ14" s="78"/>
      <c r="CR14" s="79"/>
      <c r="CS14" s="79"/>
      <c r="CT14" s="80"/>
      <c r="CU14" s="81"/>
      <c r="CV14" s="82"/>
      <c r="CW14" s="83"/>
      <c r="CX14" s="78"/>
      <c r="CY14" s="79"/>
      <c r="CZ14" s="79"/>
      <c r="DA14" s="80"/>
      <c r="DB14" s="81"/>
      <c r="DC14" s="82"/>
      <c r="DD14" s="83"/>
      <c r="DE14" s="78"/>
      <c r="DF14" s="79"/>
      <c r="DG14" s="79"/>
      <c r="DH14" s="80"/>
      <c r="DI14" s="81"/>
      <c r="DJ14" s="82"/>
      <c r="DK14" s="83"/>
      <c r="DL14" s="78"/>
      <c r="DM14" s="79"/>
      <c r="DN14" s="79"/>
      <c r="DO14" s="80"/>
      <c r="DP14" s="81"/>
      <c r="DQ14" s="82"/>
      <c r="DR14" s="83"/>
      <c r="DS14" s="78"/>
      <c r="DT14" s="79"/>
      <c r="DU14" s="79"/>
      <c r="DV14" s="80"/>
      <c r="DW14" s="81"/>
      <c r="DX14" s="82"/>
      <c r="DY14" s="83"/>
      <c r="DZ14" s="78"/>
      <c r="EA14" s="79"/>
      <c r="EB14" s="79"/>
      <c r="EC14" s="80"/>
      <c r="ED14" s="81"/>
      <c r="EE14" s="82"/>
      <c r="EF14" s="83"/>
      <c r="EG14" s="78"/>
      <c r="EH14" s="79"/>
      <c r="EI14" s="79"/>
      <c r="EJ14" s="80"/>
      <c r="EK14" s="81"/>
      <c r="EL14" s="82"/>
      <c r="EM14" s="83"/>
      <c r="EN14" s="78"/>
      <c r="EO14" s="79"/>
      <c r="EP14" s="79"/>
      <c r="EQ14" s="80"/>
      <c r="ER14" s="81"/>
      <c r="ES14" s="82"/>
      <c r="ET14" s="83"/>
      <c r="EU14" s="78"/>
      <c r="EV14" s="79"/>
      <c r="EW14" s="79"/>
      <c r="EX14" s="80"/>
      <c r="EY14" s="81"/>
      <c r="EZ14" s="82"/>
      <c r="FA14" s="83"/>
      <c r="FB14" s="78"/>
      <c r="FC14" s="79"/>
      <c r="FD14" s="79"/>
      <c r="FE14" s="80"/>
      <c r="FF14" s="81"/>
      <c r="FG14" s="82"/>
      <c r="FH14" s="83"/>
      <c r="FI14" s="78"/>
      <c r="FJ14" s="79"/>
      <c r="FK14" s="79"/>
      <c r="FL14" s="80"/>
      <c r="FM14" s="81"/>
      <c r="FN14" s="82"/>
      <c r="FO14" s="83"/>
      <c r="FP14" s="78"/>
      <c r="FQ14" s="79"/>
      <c r="FR14" s="79"/>
      <c r="FS14" s="80"/>
      <c r="FT14" s="81"/>
      <c r="FU14" s="82"/>
      <c r="FV14" s="83"/>
      <c r="FW14" s="78"/>
      <c r="FX14" s="79"/>
      <c r="FY14" s="79"/>
      <c r="FZ14" s="80"/>
      <c r="GA14" s="81"/>
      <c r="GB14" s="82"/>
      <c r="GC14" s="83"/>
      <c r="GD14" s="78"/>
      <c r="GE14" s="79"/>
      <c r="GF14" s="79"/>
      <c r="GG14" s="80"/>
      <c r="GH14" s="81"/>
      <c r="GI14" s="82"/>
      <c r="GJ14" s="83"/>
      <c r="GK14" s="78"/>
      <c r="GL14" s="79"/>
      <c r="GM14" s="79"/>
      <c r="GN14" s="80"/>
      <c r="GO14" s="81"/>
      <c r="GP14" s="82"/>
      <c r="GQ14" s="83"/>
      <c r="GR14" s="78"/>
      <c r="GS14" s="79"/>
      <c r="GT14" s="79"/>
      <c r="GU14" s="80"/>
      <c r="GV14" s="81"/>
      <c r="GW14" s="82"/>
      <c r="GX14" s="83"/>
      <c r="GY14" s="78"/>
      <c r="GZ14" s="79"/>
      <c r="HA14" s="79"/>
      <c r="HB14" s="80"/>
      <c r="HC14" s="81"/>
      <c r="HD14" s="82"/>
      <c r="HE14" s="83"/>
      <c r="HF14" s="78"/>
      <c r="HG14" s="79"/>
      <c r="HH14" s="79"/>
      <c r="HI14" s="80"/>
      <c r="HJ14" s="81"/>
      <c r="HK14" s="82"/>
      <c r="HL14" s="83"/>
      <c r="HM14" s="78"/>
      <c r="HN14" s="79"/>
      <c r="HO14" s="79"/>
      <c r="HP14" s="80"/>
      <c r="HQ14" s="81"/>
      <c r="HR14" s="82"/>
      <c r="HS14" s="83"/>
      <c r="HT14" s="78"/>
      <c r="HU14" s="79"/>
      <c r="HV14" s="79"/>
      <c r="HW14" s="80"/>
      <c r="HX14" s="81"/>
      <c r="HY14" s="82"/>
      <c r="HZ14" s="83"/>
      <c r="IA14" s="78"/>
      <c r="IB14" s="79"/>
      <c r="IC14" s="79"/>
      <c r="ID14" s="80"/>
      <c r="IE14" s="81"/>
      <c r="IF14" s="82"/>
      <c r="IG14" s="83"/>
      <c r="IH14" s="78"/>
      <c r="II14" s="79"/>
      <c r="IJ14" s="79"/>
      <c r="IK14" s="80"/>
      <c r="IL14" s="81"/>
      <c r="IM14" s="82"/>
      <c r="IN14" s="83"/>
      <c r="IO14" s="78"/>
      <c r="IP14" s="79"/>
      <c r="IQ14" s="79"/>
      <c r="IR14" s="80"/>
      <c r="IS14" s="81"/>
      <c r="IT14" s="82"/>
      <c r="IU14" s="83"/>
      <c r="IV14" s="78"/>
      <c r="IW14" s="79"/>
      <c r="IX14" s="79"/>
      <c r="IY14" s="80"/>
      <c r="IZ14" s="81"/>
      <c r="JA14" s="82"/>
      <c r="JB14" s="83"/>
      <c r="JC14" s="78"/>
      <c r="JD14" s="79"/>
      <c r="JE14" s="79"/>
      <c r="JF14" s="80"/>
      <c r="JG14" s="81"/>
      <c r="JH14" s="82"/>
      <c r="JI14" s="83"/>
      <c r="JJ14" s="78"/>
      <c r="JK14" s="79"/>
      <c r="JL14" s="79"/>
      <c r="JM14" s="80"/>
      <c r="JN14" s="81"/>
      <c r="JO14" s="82"/>
      <c r="JP14" s="83"/>
      <c r="JQ14" s="78"/>
      <c r="JR14" s="79"/>
      <c r="JS14" s="79"/>
      <c r="JT14" s="80"/>
      <c r="JU14" s="81"/>
      <c r="JV14" s="82"/>
      <c r="JW14" s="83"/>
      <c r="JX14" s="78"/>
      <c r="JY14" s="79"/>
      <c r="JZ14" s="79"/>
      <c r="KA14" s="80"/>
      <c r="KB14" s="81"/>
      <c r="KC14" s="82"/>
      <c r="KD14" s="83"/>
      <c r="KE14" s="78"/>
      <c r="KF14" s="79"/>
      <c r="KG14" s="79"/>
      <c r="KH14" s="80"/>
      <c r="KI14" s="81"/>
      <c r="KJ14" s="82"/>
      <c r="KK14" s="83"/>
      <c r="KL14" s="78"/>
      <c r="KM14" s="79"/>
      <c r="KN14" s="79"/>
      <c r="KO14" s="80"/>
      <c r="KP14" s="81"/>
      <c r="KQ14" s="82"/>
      <c r="KR14" s="83"/>
      <c r="KS14" s="78"/>
      <c r="KT14" s="79"/>
      <c r="KU14" s="79"/>
      <c r="KV14" s="80"/>
      <c r="KW14" s="81"/>
      <c r="KX14" s="82"/>
      <c r="KY14" s="83"/>
      <c r="KZ14" s="78"/>
      <c r="LA14" s="79"/>
      <c r="LB14" s="79"/>
      <c r="LC14" s="80"/>
      <c r="LD14" s="81"/>
      <c r="LE14" s="82"/>
      <c r="LF14" s="83"/>
      <c r="LG14" s="78"/>
      <c r="LH14" s="79"/>
      <c r="LI14" s="79"/>
      <c r="LJ14" s="80"/>
      <c r="LK14" s="81"/>
      <c r="LL14" s="82"/>
      <c r="LM14" s="83"/>
      <c r="LN14" s="78"/>
      <c r="LO14" s="79"/>
      <c r="LP14" s="79"/>
      <c r="LQ14" s="80"/>
      <c r="LR14" s="81"/>
      <c r="LS14" s="82"/>
      <c r="LT14" s="83"/>
      <c r="LU14" s="78"/>
      <c r="LV14" s="79"/>
      <c r="LW14" s="79"/>
      <c r="LX14" s="80"/>
      <c r="LY14" s="81"/>
      <c r="LZ14" s="82"/>
      <c r="MA14" s="83"/>
      <c r="MB14" s="78"/>
      <c r="MC14" s="79"/>
      <c r="MD14" s="79"/>
      <c r="ME14" s="80"/>
      <c r="MF14" s="81"/>
      <c r="MG14" s="82"/>
      <c r="MH14" s="83"/>
      <c r="MI14" s="78"/>
      <c r="MJ14" s="79"/>
      <c r="MK14" s="79"/>
      <c r="ML14" s="80"/>
      <c r="MM14" s="81"/>
      <c r="MN14" s="82"/>
      <c r="MO14" s="83"/>
      <c r="MP14" s="78"/>
      <c r="MQ14" s="79"/>
      <c r="MR14" s="79"/>
      <c r="MS14" s="80"/>
      <c r="MT14" s="81"/>
      <c r="MU14" s="82"/>
      <c r="MV14" s="83"/>
      <c r="MW14" s="78"/>
      <c r="MX14" s="79"/>
      <c r="MY14" s="79"/>
      <c r="MZ14" s="80"/>
      <c r="NA14" s="81"/>
      <c r="NB14" s="82"/>
      <c r="NC14" s="83"/>
      <c r="ND14" s="78"/>
      <c r="NE14" s="79"/>
      <c r="NF14" s="79"/>
      <c r="NG14" s="80"/>
      <c r="NH14" s="81"/>
      <c r="NI14" s="82"/>
      <c r="NJ14" s="83"/>
      <c r="NK14" s="78"/>
      <c r="NL14" s="79"/>
      <c r="NM14" s="79"/>
      <c r="NN14" s="80"/>
      <c r="NO14" s="81"/>
      <c r="NP14" s="82"/>
      <c r="NQ14" s="83"/>
    </row>
    <row r="15" spans="1:381" ht="15" customHeight="1" x14ac:dyDescent="0.15">
      <c r="A15" s="65">
        <v>10</v>
      </c>
      <c r="B15" s="76"/>
      <c r="C15" s="77"/>
      <c r="D15" s="78"/>
      <c r="E15" s="79"/>
      <c r="F15" s="79"/>
      <c r="G15" s="80"/>
      <c r="H15" s="81"/>
      <c r="I15" s="82"/>
      <c r="J15" s="83"/>
      <c r="K15" s="78"/>
      <c r="L15" s="79"/>
      <c r="M15" s="79"/>
      <c r="N15" s="80"/>
      <c r="O15" s="81"/>
      <c r="P15" s="82"/>
      <c r="Q15" s="83"/>
      <c r="R15" s="78"/>
      <c r="S15" s="79"/>
      <c r="T15" s="79"/>
      <c r="U15" s="80"/>
      <c r="V15" s="81"/>
      <c r="W15" s="82"/>
      <c r="X15" s="83"/>
      <c r="Y15" s="78"/>
      <c r="Z15" s="79"/>
      <c r="AA15" s="79"/>
      <c r="AB15" s="80"/>
      <c r="AC15" s="81"/>
      <c r="AD15" s="82"/>
      <c r="AE15" s="83"/>
      <c r="AF15" s="78"/>
      <c r="AG15" s="79"/>
      <c r="AH15" s="79"/>
      <c r="AI15" s="80"/>
      <c r="AJ15" s="81"/>
      <c r="AK15" s="82"/>
      <c r="AL15" s="83"/>
      <c r="AM15" s="78"/>
      <c r="AN15" s="79"/>
      <c r="AO15" s="79"/>
      <c r="AP15" s="80"/>
      <c r="AQ15" s="81"/>
      <c r="AR15" s="82"/>
      <c r="AS15" s="83"/>
      <c r="AT15" s="78"/>
      <c r="AU15" s="79"/>
      <c r="AV15" s="79"/>
      <c r="AW15" s="80"/>
      <c r="AX15" s="81"/>
      <c r="AY15" s="82"/>
      <c r="AZ15" s="83"/>
      <c r="BA15" s="78"/>
      <c r="BB15" s="79"/>
      <c r="BC15" s="79"/>
      <c r="BD15" s="80"/>
      <c r="BE15" s="81"/>
      <c r="BF15" s="82"/>
      <c r="BG15" s="83"/>
      <c r="BH15" s="78"/>
      <c r="BI15" s="79"/>
      <c r="BJ15" s="79"/>
      <c r="BK15" s="80"/>
      <c r="BL15" s="81"/>
      <c r="BM15" s="82"/>
      <c r="BN15" s="83"/>
      <c r="BO15" s="78"/>
      <c r="BP15" s="79"/>
      <c r="BQ15" s="79"/>
      <c r="BR15" s="80"/>
      <c r="BS15" s="81"/>
      <c r="BT15" s="82"/>
      <c r="BU15" s="83"/>
      <c r="BV15" s="78"/>
      <c r="BW15" s="79"/>
      <c r="BX15" s="79"/>
      <c r="BY15" s="80"/>
      <c r="BZ15" s="81"/>
      <c r="CA15" s="82"/>
      <c r="CB15" s="83"/>
      <c r="CC15" s="78"/>
      <c r="CD15" s="79"/>
      <c r="CE15" s="79"/>
      <c r="CF15" s="80"/>
      <c r="CG15" s="81"/>
      <c r="CH15" s="82"/>
      <c r="CI15" s="83"/>
      <c r="CJ15" s="78"/>
      <c r="CK15" s="79"/>
      <c r="CL15" s="79"/>
      <c r="CM15" s="80"/>
      <c r="CN15" s="81"/>
      <c r="CO15" s="82"/>
      <c r="CP15" s="83"/>
      <c r="CQ15" s="78"/>
      <c r="CR15" s="79"/>
      <c r="CS15" s="79"/>
      <c r="CT15" s="80"/>
      <c r="CU15" s="81"/>
      <c r="CV15" s="82"/>
      <c r="CW15" s="83"/>
      <c r="CX15" s="78"/>
      <c r="CY15" s="79"/>
      <c r="CZ15" s="79"/>
      <c r="DA15" s="80"/>
      <c r="DB15" s="81"/>
      <c r="DC15" s="82"/>
      <c r="DD15" s="83"/>
      <c r="DE15" s="78"/>
      <c r="DF15" s="79"/>
      <c r="DG15" s="79"/>
      <c r="DH15" s="80"/>
      <c r="DI15" s="81"/>
      <c r="DJ15" s="82"/>
      <c r="DK15" s="83"/>
      <c r="DL15" s="78"/>
      <c r="DM15" s="79"/>
      <c r="DN15" s="79"/>
      <c r="DO15" s="80"/>
      <c r="DP15" s="81"/>
      <c r="DQ15" s="82"/>
      <c r="DR15" s="83"/>
      <c r="DS15" s="78"/>
      <c r="DT15" s="79"/>
      <c r="DU15" s="79"/>
      <c r="DV15" s="80"/>
      <c r="DW15" s="81"/>
      <c r="DX15" s="82"/>
      <c r="DY15" s="83"/>
      <c r="DZ15" s="78"/>
      <c r="EA15" s="79"/>
      <c r="EB15" s="79"/>
      <c r="EC15" s="80"/>
      <c r="ED15" s="81"/>
      <c r="EE15" s="82"/>
      <c r="EF15" s="83"/>
      <c r="EG15" s="78"/>
      <c r="EH15" s="79"/>
      <c r="EI15" s="79"/>
      <c r="EJ15" s="80"/>
      <c r="EK15" s="81"/>
      <c r="EL15" s="82"/>
      <c r="EM15" s="83"/>
      <c r="EN15" s="78"/>
      <c r="EO15" s="79"/>
      <c r="EP15" s="79"/>
      <c r="EQ15" s="80"/>
      <c r="ER15" s="81"/>
      <c r="ES15" s="82"/>
      <c r="ET15" s="83"/>
      <c r="EU15" s="78"/>
      <c r="EV15" s="79"/>
      <c r="EW15" s="79"/>
      <c r="EX15" s="80"/>
      <c r="EY15" s="81"/>
      <c r="EZ15" s="82"/>
      <c r="FA15" s="83"/>
      <c r="FB15" s="78"/>
      <c r="FC15" s="79"/>
      <c r="FD15" s="79"/>
      <c r="FE15" s="80"/>
      <c r="FF15" s="81"/>
      <c r="FG15" s="82"/>
      <c r="FH15" s="83"/>
      <c r="FI15" s="78"/>
      <c r="FJ15" s="79"/>
      <c r="FK15" s="79"/>
      <c r="FL15" s="80"/>
      <c r="FM15" s="81"/>
      <c r="FN15" s="82"/>
      <c r="FO15" s="83"/>
      <c r="FP15" s="78"/>
      <c r="FQ15" s="79"/>
      <c r="FR15" s="79"/>
      <c r="FS15" s="80"/>
      <c r="FT15" s="81"/>
      <c r="FU15" s="82"/>
      <c r="FV15" s="83"/>
      <c r="FW15" s="78"/>
      <c r="FX15" s="79"/>
      <c r="FY15" s="79"/>
      <c r="FZ15" s="80"/>
      <c r="GA15" s="81"/>
      <c r="GB15" s="82"/>
      <c r="GC15" s="83"/>
      <c r="GD15" s="78"/>
      <c r="GE15" s="79"/>
      <c r="GF15" s="79"/>
      <c r="GG15" s="80"/>
      <c r="GH15" s="81"/>
      <c r="GI15" s="82"/>
      <c r="GJ15" s="83"/>
      <c r="GK15" s="78"/>
      <c r="GL15" s="79"/>
      <c r="GM15" s="79"/>
      <c r="GN15" s="80"/>
      <c r="GO15" s="81"/>
      <c r="GP15" s="82"/>
      <c r="GQ15" s="83"/>
      <c r="GR15" s="78"/>
      <c r="GS15" s="79"/>
      <c r="GT15" s="79"/>
      <c r="GU15" s="80"/>
      <c r="GV15" s="81"/>
      <c r="GW15" s="82"/>
      <c r="GX15" s="83"/>
      <c r="GY15" s="78"/>
      <c r="GZ15" s="79"/>
      <c r="HA15" s="79"/>
      <c r="HB15" s="80"/>
      <c r="HC15" s="81"/>
      <c r="HD15" s="82"/>
      <c r="HE15" s="83"/>
      <c r="HF15" s="78"/>
      <c r="HG15" s="79"/>
      <c r="HH15" s="79"/>
      <c r="HI15" s="80"/>
      <c r="HJ15" s="81"/>
      <c r="HK15" s="82"/>
      <c r="HL15" s="83"/>
      <c r="HM15" s="78"/>
      <c r="HN15" s="79"/>
      <c r="HO15" s="79"/>
      <c r="HP15" s="80"/>
      <c r="HQ15" s="81"/>
      <c r="HR15" s="82"/>
      <c r="HS15" s="83"/>
      <c r="HT15" s="78"/>
      <c r="HU15" s="79"/>
      <c r="HV15" s="79"/>
      <c r="HW15" s="80"/>
      <c r="HX15" s="81"/>
      <c r="HY15" s="82"/>
      <c r="HZ15" s="83"/>
      <c r="IA15" s="78"/>
      <c r="IB15" s="79"/>
      <c r="IC15" s="79"/>
      <c r="ID15" s="80"/>
      <c r="IE15" s="81"/>
      <c r="IF15" s="82"/>
      <c r="IG15" s="83"/>
      <c r="IH15" s="78"/>
      <c r="II15" s="79"/>
      <c r="IJ15" s="79"/>
      <c r="IK15" s="80"/>
      <c r="IL15" s="81"/>
      <c r="IM15" s="82"/>
      <c r="IN15" s="83"/>
      <c r="IO15" s="78"/>
      <c r="IP15" s="79"/>
      <c r="IQ15" s="79"/>
      <c r="IR15" s="80"/>
      <c r="IS15" s="81"/>
      <c r="IT15" s="82"/>
      <c r="IU15" s="83"/>
      <c r="IV15" s="78"/>
      <c r="IW15" s="79"/>
      <c r="IX15" s="79"/>
      <c r="IY15" s="80"/>
      <c r="IZ15" s="81"/>
      <c r="JA15" s="82"/>
      <c r="JB15" s="83"/>
      <c r="JC15" s="78"/>
      <c r="JD15" s="79"/>
      <c r="JE15" s="79"/>
      <c r="JF15" s="80"/>
      <c r="JG15" s="81"/>
      <c r="JH15" s="82"/>
      <c r="JI15" s="83"/>
      <c r="JJ15" s="78"/>
      <c r="JK15" s="79"/>
      <c r="JL15" s="79"/>
      <c r="JM15" s="80"/>
      <c r="JN15" s="81"/>
      <c r="JO15" s="82"/>
      <c r="JP15" s="83"/>
      <c r="JQ15" s="78"/>
      <c r="JR15" s="79"/>
      <c r="JS15" s="79"/>
      <c r="JT15" s="80"/>
      <c r="JU15" s="81"/>
      <c r="JV15" s="82"/>
      <c r="JW15" s="83"/>
      <c r="JX15" s="78"/>
      <c r="JY15" s="79"/>
      <c r="JZ15" s="79"/>
      <c r="KA15" s="80"/>
      <c r="KB15" s="81"/>
      <c r="KC15" s="82"/>
      <c r="KD15" s="83"/>
      <c r="KE15" s="78"/>
      <c r="KF15" s="79"/>
      <c r="KG15" s="79"/>
      <c r="KH15" s="80"/>
      <c r="KI15" s="81"/>
      <c r="KJ15" s="82"/>
      <c r="KK15" s="83"/>
      <c r="KL15" s="78"/>
      <c r="KM15" s="79"/>
      <c r="KN15" s="79"/>
      <c r="KO15" s="80"/>
      <c r="KP15" s="81"/>
      <c r="KQ15" s="82"/>
      <c r="KR15" s="83"/>
      <c r="KS15" s="78"/>
      <c r="KT15" s="79"/>
      <c r="KU15" s="79"/>
      <c r="KV15" s="80"/>
      <c r="KW15" s="81"/>
      <c r="KX15" s="82"/>
      <c r="KY15" s="83"/>
      <c r="KZ15" s="78"/>
      <c r="LA15" s="79"/>
      <c r="LB15" s="79"/>
      <c r="LC15" s="80"/>
      <c r="LD15" s="81"/>
      <c r="LE15" s="82"/>
      <c r="LF15" s="83"/>
      <c r="LG15" s="78"/>
      <c r="LH15" s="79"/>
      <c r="LI15" s="79"/>
      <c r="LJ15" s="80"/>
      <c r="LK15" s="81"/>
      <c r="LL15" s="82"/>
      <c r="LM15" s="83"/>
      <c r="LN15" s="78"/>
      <c r="LO15" s="79"/>
      <c r="LP15" s="79"/>
      <c r="LQ15" s="80"/>
      <c r="LR15" s="81"/>
      <c r="LS15" s="82"/>
      <c r="LT15" s="83"/>
      <c r="LU15" s="78"/>
      <c r="LV15" s="79"/>
      <c r="LW15" s="79"/>
      <c r="LX15" s="80"/>
      <c r="LY15" s="81"/>
      <c r="LZ15" s="82"/>
      <c r="MA15" s="83"/>
      <c r="MB15" s="78"/>
      <c r="MC15" s="79"/>
      <c r="MD15" s="79"/>
      <c r="ME15" s="80"/>
      <c r="MF15" s="81"/>
      <c r="MG15" s="82"/>
      <c r="MH15" s="83"/>
      <c r="MI15" s="78"/>
      <c r="MJ15" s="79"/>
      <c r="MK15" s="79"/>
      <c r="ML15" s="80"/>
      <c r="MM15" s="81"/>
      <c r="MN15" s="82"/>
      <c r="MO15" s="83"/>
      <c r="MP15" s="78"/>
      <c r="MQ15" s="79"/>
      <c r="MR15" s="79"/>
      <c r="MS15" s="80"/>
      <c r="MT15" s="81"/>
      <c r="MU15" s="82"/>
      <c r="MV15" s="83"/>
      <c r="MW15" s="78"/>
      <c r="MX15" s="79"/>
      <c r="MY15" s="79"/>
      <c r="MZ15" s="80"/>
      <c r="NA15" s="81"/>
      <c r="NB15" s="82"/>
      <c r="NC15" s="83"/>
      <c r="ND15" s="78"/>
      <c r="NE15" s="79"/>
      <c r="NF15" s="79"/>
      <c r="NG15" s="80"/>
      <c r="NH15" s="81"/>
      <c r="NI15" s="82"/>
      <c r="NJ15" s="83"/>
      <c r="NK15" s="78"/>
      <c r="NL15" s="79"/>
      <c r="NM15" s="79"/>
      <c r="NN15" s="80"/>
      <c r="NO15" s="81"/>
      <c r="NP15" s="82"/>
      <c r="NQ15" s="83"/>
    </row>
    <row r="16" spans="1:381" ht="15" customHeight="1" x14ac:dyDescent="0.15">
      <c r="A16" s="65">
        <v>11</v>
      </c>
      <c r="B16" s="76"/>
      <c r="C16" s="77">
        <v>0.16666666666666699</v>
      </c>
      <c r="D16" s="78"/>
      <c r="E16" s="79"/>
      <c r="F16" s="79"/>
      <c r="G16" s="80"/>
      <c r="H16" s="81"/>
      <c r="I16" s="82"/>
      <c r="J16" s="83"/>
      <c r="K16" s="78"/>
      <c r="L16" s="79"/>
      <c r="M16" s="79"/>
      <c r="N16" s="80"/>
      <c r="O16" s="81"/>
      <c r="P16" s="82"/>
      <c r="Q16" s="83"/>
      <c r="R16" s="78"/>
      <c r="S16" s="79"/>
      <c r="T16" s="79"/>
      <c r="U16" s="80"/>
      <c r="V16" s="81"/>
      <c r="W16" s="82"/>
      <c r="X16" s="83"/>
      <c r="Y16" s="78"/>
      <c r="Z16" s="79"/>
      <c r="AA16" s="79"/>
      <c r="AB16" s="80"/>
      <c r="AC16" s="81"/>
      <c r="AD16" s="82"/>
      <c r="AE16" s="83"/>
      <c r="AF16" s="78"/>
      <c r="AG16" s="79"/>
      <c r="AH16" s="79"/>
      <c r="AI16" s="80"/>
      <c r="AJ16" s="81"/>
      <c r="AK16" s="82"/>
      <c r="AL16" s="83"/>
      <c r="AM16" s="78"/>
      <c r="AN16" s="79"/>
      <c r="AO16" s="79"/>
      <c r="AP16" s="80"/>
      <c r="AQ16" s="81"/>
      <c r="AR16" s="82"/>
      <c r="AS16" s="83"/>
      <c r="AT16" s="78"/>
      <c r="AU16" s="79"/>
      <c r="AV16" s="79"/>
      <c r="AW16" s="80"/>
      <c r="AX16" s="81"/>
      <c r="AY16" s="82"/>
      <c r="AZ16" s="83"/>
      <c r="BA16" s="78"/>
      <c r="BB16" s="79"/>
      <c r="BC16" s="79"/>
      <c r="BD16" s="80"/>
      <c r="BE16" s="81"/>
      <c r="BF16" s="82"/>
      <c r="BG16" s="83"/>
      <c r="BH16" s="78"/>
      <c r="BI16" s="79"/>
      <c r="BJ16" s="79"/>
      <c r="BK16" s="80"/>
      <c r="BL16" s="81"/>
      <c r="BM16" s="82"/>
      <c r="BN16" s="83"/>
      <c r="BO16" s="78"/>
      <c r="BP16" s="79"/>
      <c r="BQ16" s="79"/>
      <c r="BR16" s="80"/>
      <c r="BS16" s="81"/>
      <c r="BT16" s="82"/>
      <c r="BU16" s="83"/>
      <c r="BV16" s="78"/>
      <c r="BW16" s="79"/>
      <c r="BX16" s="79"/>
      <c r="BY16" s="80"/>
      <c r="BZ16" s="81"/>
      <c r="CA16" s="82"/>
      <c r="CB16" s="83"/>
      <c r="CC16" s="78"/>
      <c r="CD16" s="79"/>
      <c r="CE16" s="79"/>
      <c r="CF16" s="80"/>
      <c r="CG16" s="81"/>
      <c r="CH16" s="82"/>
      <c r="CI16" s="83"/>
      <c r="CJ16" s="78"/>
      <c r="CK16" s="79"/>
      <c r="CL16" s="79"/>
      <c r="CM16" s="80"/>
      <c r="CN16" s="81"/>
      <c r="CO16" s="82"/>
      <c r="CP16" s="83"/>
      <c r="CQ16" s="78"/>
      <c r="CR16" s="79"/>
      <c r="CS16" s="79"/>
      <c r="CT16" s="80"/>
      <c r="CU16" s="81"/>
      <c r="CV16" s="82"/>
      <c r="CW16" s="83"/>
      <c r="CX16" s="78"/>
      <c r="CY16" s="79"/>
      <c r="CZ16" s="79"/>
      <c r="DA16" s="80"/>
      <c r="DB16" s="81"/>
      <c r="DC16" s="82"/>
      <c r="DD16" s="83"/>
      <c r="DE16" s="78"/>
      <c r="DF16" s="79"/>
      <c r="DG16" s="79"/>
      <c r="DH16" s="80"/>
      <c r="DI16" s="81"/>
      <c r="DJ16" s="82"/>
      <c r="DK16" s="83"/>
      <c r="DL16" s="78"/>
      <c r="DM16" s="79"/>
      <c r="DN16" s="79"/>
      <c r="DO16" s="80"/>
      <c r="DP16" s="81"/>
      <c r="DQ16" s="82"/>
      <c r="DR16" s="83"/>
      <c r="DS16" s="78"/>
      <c r="DT16" s="79"/>
      <c r="DU16" s="79"/>
      <c r="DV16" s="80"/>
      <c r="DW16" s="81"/>
      <c r="DX16" s="82"/>
      <c r="DY16" s="83"/>
      <c r="DZ16" s="78"/>
      <c r="EA16" s="79"/>
      <c r="EB16" s="79"/>
      <c r="EC16" s="80"/>
      <c r="ED16" s="81"/>
      <c r="EE16" s="82"/>
      <c r="EF16" s="83"/>
      <c r="EG16" s="78"/>
      <c r="EH16" s="79"/>
      <c r="EI16" s="79"/>
      <c r="EJ16" s="80"/>
      <c r="EK16" s="81"/>
      <c r="EL16" s="82"/>
      <c r="EM16" s="83"/>
      <c r="EN16" s="78"/>
      <c r="EO16" s="79"/>
      <c r="EP16" s="79"/>
      <c r="EQ16" s="80"/>
      <c r="ER16" s="81"/>
      <c r="ES16" s="82"/>
      <c r="ET16" s="83"/>
      <c r="EU16" s="78"/>
      <c r="EV16" s="79"/>
      <c r="EW16" s="79"/>
      <c r="EX16" s="80"/>
      <c r="EY16" s="81"/>
      <c r="EZ16" s="82"/>
      <c r="FA16" s="83"/>
      <c r="FB16" s="78"/>
      <c r="FC16" s="79"/>
      <c r="FD16" s="79"/>
      <c r="FE16" s="80"/>
      <c r="FF16" s="81"/>
      <c r="FG16" s="82"/>
      <c r="FH16" s="83"/>
      <c r="FI16" s="78"/>
      <c r="FJ16" s="79"/>
      <c r="FK16" s="79"/>
      <c r="FL16" s="80"/>
      <c r="FM16" s="81"/>
      <c r="FN16" s="82"/>
      <c r="FO16" s="83"/>
      <c r="FP16" s="78"/>
      <c r="FQ16" s="79"/>
      <c r="FR16" s="79"/>
      <c r="FS16" s="80"/>
      <c r="FT16" s="81"/>
      <c r="FU16" s="82"/>
      <c r="FV16" s="83"/>
      <c r="FW16" s="78"/>
      <c r="FX16" s="79"/>
      <c r="FY16" s="79"/>
      <c r="FZ16" s="80"/>
      <c r="GA16" s="81"/>
      <c r="GB16" s="82"/>
      <c r="GC16" s="83"/>
      <c r="GD16" s="78"/>
      <c r="GE16" s="79"/>
      <c r="GF16" s="79"/>
      <c r="GG16" s="80"/>
      <c r="GH16" s="81"/>
      <c r="GI16" s="82"/>
      <c r="GJ16" s="83"/>
      <c r="GK16" s="78"/>
      <c r="GL16" s="79"/>
      <c r="GM16" s="79"/>
      <c r="GN16" s="80"/>
      <c r="GO16" s="81"/>
      <c r="GP16" s="82"/>
      <c r="GQ16" s="83"/>
      <c r="GR16" s="78"/>
      <c r="GS16" s="79"/>
      <c r="GT16" s="79"/>
      <c r="GU16" s="80"/>
      <c r="GV16" s="81"/>
      <c r="GW16" s="82"/>
      <c r="GX16" s="83"/>
      <c r="GY16" s="78"/>
      <c r="GZ16" s="79"/>
      <c r="HA16" s="79"/>
      <c r="HB16" s="80"/>
      <c r="HC16" s="81"/>
      <c r="HD16" s="82"/>
      <c r="HE16" s="83"/>
      <c r="HF16" s="78"/>
      <c r="HG16" s="79"/>
      <c r="HH16" s="79"/>
      <c r="HI16" s="80"/>
      <c r="HJ16" s="81"/>
      <c r="HK16" s="82"/>
      <c r="HL16" s="83"/>
      <c r="HM16" s="78"/>
      <c r="HN16" s="79"/>
      <c r="HO16" s="79"/>
      <c r="HP16" s="80"/>
      <c r="HQ16" s="81"/>
      <c r="HR16" s="82"/>
      <c r="HS16" s="83"/>
      <c r="HT16" s="78"/>
      <c r="HU16" s="79"/>
      <c r="HV16" s="79"/>
      <c r="HW16" s="80"/>
      <c r="HX16" s="81"/>
      <c r="HY16" s="82"/>
      <c r="HZ16" s="83"/>
      <c r="IA16" s="78"/>
      <c r="IB16" s="79"/>
      <c r="IC16" s="79"/>
      <c r="ID16" s="80"/>
      <c r="IE16" s="81"/>
      <c r="IF16" s="82"/>
      <c r="IG16" s="83"/>
      <c r="IH16" s="78"/>
      <c r="II16" s="79"/>
      <c r="IJ16" s="79"/>
      <c r="IK16" s="80"/>
      <c r="IL16" s="81"/>
      <c r="IM16" s="82"/>
      <c r="IN16" s="83"/>
      <c r="IO16" s="78"/>
      <c r="IP16" s="79"/>
      <c r="IQ16" s="79"/>
      <c r="IR16" s="80"/>
      <c r="IS16" s="81"/>
      <c r="IT16" s="82"/>
      <c r="IU16" s="83"/>
      <c r="IV16" s="78"/>
      <c r="IW16" s="79"/>
      <c r="IX16" s="79"/>
      <c r="IY16" s="80"/>
      <c r="IZ16" s="81"/>
      <c r="JA16" s="82"/>
      <c r="JB16" s="83"/>
      <c r="JC16" s="78"/>
      <c r="JD16" s="79"/>
      <c r="JE16" s="79"/>
      <c r="JF16" s="80"/>
      <c r="JG16" s="81"/>
      <c r="JH16" s="82"/>
      <c r="JI16" s="83"/>
      <c r="JJ16" s="78"/>
      <c r="JK16" s="79"/>
      <c r="JL16" s="79"/>
      <c r="JM16" s="80"/>
      <c r="JN16" s="81"/>
      <c r="JO16" s="82"/>
      <c r="JP16" s="83"/>
      <c r="JQ16" s="78"/>
      <c r="JR16" s="79"/>
      <c r="JS16" s="79"/>
      <c r="JT16" s="80"/>
      <c r="JU16" s="81"/>
      <c r="JV16" s="82"/>
      <c r="JW16" s="83"/>
      <c r="JX16" s="78"/>
      <c r="JY16" s="79"/>
      <c r="JZ16" s="79"/>
      <c r="KA16" s="80"/>
      <c r="KB16" s="81"/>
      <c r="KC16" s="82"/>
      <c r="KD16" s="83"/>
      <c r="KE16" s="78"/>
      <c r="KF16" s="79"/>
      <c r="KG16" s="79"/>
      <c r="KH16" s="80"/>
      <c r="KI16" s="81"/>
      <c r="KJ16" s="82"/>
      <c r="KK16" s="83"/>
      <c r="KL16" s="78"/>
      <c r="KM16" s="79"/>
      <c r="KN16" s="79"/>
      <c r="KO16" s="80"/>
      <c r="KP16" s="81"/>
      <c r="KQ16" s="82"/>
      <c r="KR16" s="83"/>
      <c r="KS16" s="78"/>
      <c r="KT16" s="79"/>
      <c r="KU16" s="79"/>
      <c r="KV16" s="80"/>
      <c r="KW16" s="81"/>
      <c r="KX16" s="82"/>
      <c r="KY16" s="83"/>
      <c r="KZ16" s="78"/>
      <c r="LA16" s="79"/>
      <c r="LB16" s="79"/>
      <c r="LC16" s="80"/>
      <c r="LD16" s="81"/>
      <c r="LE16" s="82"/>
      <c r="LF16" s="83"/>
      <c r="LG16" s="78"/>
      <c r="LH16" s="79"/>
      <c r="LI16" s="79"/>
      <c r="LJ16" s="80"/>
      <c r="LK16" s="81"/>
      <c r="LL16" s="82"/>
      <c r="LM16" s="83"/>
      <c r="LN16" s="78"/>
      <c r="LO16" s="79"/>
      <c r="LP16" s="79"/>
      <c r="LQ16" s="80"/>
      <c r="LR16" s="81"/>
      <c r="LS16" s="82"/>
      <c r="LT16" s="83"/>
      <c r="LU16" s="78"/>
      <c r="LV16" s="79"/>
      <c r="LW16" s="79"/>
      <c r="LX16" s="80"/>
      <c r="LY16" s="81"/>
      <c r="LZ16" s="82"/>
      <c r="MA16" s="83"/>
      <c r="MB16" s="78"/>
      <c r="MC16" s="79"/>
      <c r="MD16" s="79"/>
      <c r="ME16" s="80"/>
      <c r="MF16" s="81"/>
      <c r="MG16" s="82"/>
      <c r="MH16" s="83"/>
      <c r="MI16" s="78"/>
      <c r="MJ16" s="79"/>
      <c r="MK16" s="79"/>
      <c r="ML16" s="80"/>
      <c r="MM16" s="81"/>
      <c r="MN16" s="82"/>
      <c r="MO16" s="83"/>
      <c r="MP16" s="78"/>
      <c r="MQ16" s="79"/>
      <c r="MR16" s="79"/>
      <c r="MS16" s="80"/>
      <c r="MT16" s="81"/>
      <c r="MU16" s="82"/>
      <c r="MV16" s="83"/>
      <c r="MW16" s="78"/>
      <c r="MX16" s="79"/>
      <c r="MY16" s="79"/>
      <c r="MZ16" s="80"/>
      <c r="NA16" s="81"/>
      <c r="NB16" s="82"/>
      <c r="NC16" s="83"/>
      <c r="ND16" s="78"/>
      <c r="NE16" s="79"/>
      <c r="NF16" s="79"/>
      <c r="NG16" s="80"/>
      <c r="NH16" s="81"/>
      <c r="NI16" s="82"/>
      <c r="NJ16" s="83"/>
      <c r="NK16" s="78"/>
      <c r="NL16" s="79"/>
      <c r="NM16" s="79"/>
      <c r="NN16" s="80"/>
      <c r="NO16" s="81"/>
      <c r="NP16" s="82"/>
      <c r="NQ16" s="83"/>
    </row>
    <row r="17" spans="1:381" ht="15" customHeight="1" x14ac:dyDescent="0.15">
      <c r="A17" s="65">
        <v>12</v>
      </c>
      <c r="B17" s="76"/>
      <c r="C17" s="77"/>
      <c r="D17" s="78"/>
      <c r="E17" s="79"/>
      <c r="F17" s="79"/>
      <c r="G17" s="80"/>
      <c r="H17" s="81"/>
      <c r="I17" s="82"/>
      <c r="J17" s="83"/>
      <c r="K17" s="78"/>
      <c r="L17" s="79"/>
      <c r="M17" s="79"/>
      <c r="N17" s="80"/>
      <c r="O17" s="81"/>
      <c r="P17" s="82"/>
      <c r="Q17" s="83"/>
      <c r="R17" s="78"/>
      <c r="S17" s="79"/>
      <c r="T17" s="79"/>
      <c r="U17" s="80"/>
      <c r="V17" s="81"/>
      <c r="W17" s="82"/>
      <c r="X17" s="83"/>
      <c r="Y17" s="78"/>
      <c r="Z17" s="79"/>
      <c r="AA17" s="79"/>
      <c r="AB17" s="80"/>
      <c r="AC17" s="81"/>
      <c r="AD17" s="82"/>
      <c r="AE17" s="83"/>
      <c r="AF17" s="78"/>
      <c r="AG17" s="79"/>
      <c r="AH17" s="79"/>
      <c r="AI17" s="80"/>
      <c r="AJ17" s="81"/>
      <c r="AK17" s="82"/>
      <c r="AL17" s="83"/>
      <c r="AM17" s="78"/>
      <c r="AN17" s="79"/>
      <c r="AO17" s="79"/>
      <c r="AP17" s="80"/>
      <c r="AQ17" s="81"/>
      <c r="AR17" s="82"/>
      <c r="AS17" s="83"/>
      <c r="AT17" s="78"/>
      <c r="AU17" s="79"/>
      <c r="AV17" s="79"/>
      <c r="AW17" s="80"/>
      <c r="AX17" s="81"/>
      <c r="AY17" s="82"/>
      <c r="AZ17" s="83"/>
      <c r="BA17" s="78"/>
      <c r="BB17" s="79"/>
      <c r="BC17" s="79"/>
      <c r="BD17" s="80"/>
      <c r="BE17" s="81"/>
      <c r="BF17" s="82"/>
      <c r="BG17" s="83"/>
      <c r="BH17" s="78"/>
      <c r="BI17" s="79"/>
      <c r="BJ17" s="79"/>
      <c r="BK17" s="80"/>
      <c r="BL17" s="81"/>
      <c r="BM17" s="82"/>
      <c r="BN17" s="83"/>
      <c r="BO17" s="78"/>
      <c r="BP17" s="79"/>
      <c r="BQ17" s="79"/>
      <c r="BR17" s="80"/>
      <c r="BS17" s="81"/>
      <c r="BT17" s="82"/>
      <c r="BU17" s="83"/>
      <c r="BV17" s="78"/>
      <c r="BW17" s="79"/>
      <c r="BX17" s="79"/>
      <c r="BY17" s="80"/>
      <c r="BZ17" s="81"/>
      <c r="CA17" s="82"/>
      <c r="CB17" s="83"/>
      <c r="CC17" s="78"/>
      <c r="CD17" s="79"/>
      <c r="CE17" s="79"/>
      <c r="CF17" s="80"/>
      <c r="CG17" s="81"/>
      <c r="CH17" s="82"/>
      <c r="CI17" s="83"/>
      <c r="CJ17" s="78"/>
      <c r="CK17" s="79"/>
      <c r="CL17" s="79"/>
      <c r="CM17" s="80"/>
      <c r="CN17" s="81"/>
      <c r="CO17" s="82"/>
      <c r="CP17" s="83"/>
      <c r="CQ17" s="78"/>
      <c r="CR17" s="79"/>
      <c r="CS17" s="79"/>
      <c r="CT17" s="80"/>
      <c r="CU17" s="81"/>
      <c r="CV17" s="82"/>
      <c r="CW17" s="83"/>
      <c r="CX17" s="78"/>
      <c r="CY17" s="79"/>
      <c r="CZ17" s="79"/>
      <c r="DA17" s="80"/>
      <c r="DB17" s="81"/>
      <c r="DC17" s="82"/>
      <c r="DD17" s="83"/>
      <c r="DE17" s="78"/>
      <c r="DF17" s="79"/>
      <c r="DG17" s="79"/>
      <c r="DH17" s="80"/>
      <c r="DI17" s="81"/>
      <c r="DJ17" s="82"/>
      <c r="DK17" s="83"/>
      <c r="DL17" s="78"/>
      <c r="DM17" s="79"/>
      <c r="DN17" s="79"/>
      <c r="DO17" s="80"/>
      <c r="DP17" s="81"/>
      <c r="DQ17" s="82"/>
      <c r="DR17" s="83"/>
      <c r="DS17" s="78"/>
      <c r="DT17" s="79"/>
      <c r="DU17" s="79"/>
      <c r="DV17" s="80"/>
      <c r="DW17" s="81"/>
      <c r="DX17" s="82"/>
      <c r="DY17" s="83"/>
      <c r="DZ17" s="78"/>
      <c r="EA17" s="79"/>
      <c r="EB17" s="79"/>
      <c r="EC17" s="80"/>
      <c r="ED17" s="81"/>
      <c r="EE17" s="82"/>
      <c r="EF17" s="83"/>
      <c r="EG17" s="78"/>
      <c r="EH17" s="79"/>
      <c r="EI17" s="79"/>
      <c r="EJ17" s="80"/>
      <c r="EK17" s="81"/>
      <c r="EL17" s="82"/>
      <c r="EM17" s="83"/>
      <c r="EN17" s="78"/>
      <c r="EO17" s="79"/>
      <c r="EP17" s="79"/>
      <c r="EQ17" s="80"/>
      <c r="ER17" s="81"/>
      <c r="ES17" s="82"/>
      <c r="ET17" s="83"/>
      <c r="EU17" s="78"/>
      <c r="EV17" s="79"/>
      <c r="EW17" s="79"/>
      <c r="EX17" s="80"/>
      <c r="EY17" s="81"/>
      <c r="EZ17" s="82"/>
      <c r="FA17" s="83"/>
      <c r="FB17" s="78"/>
      <c r="FC17" s="79"/>
      <c r="FD17" s="79"/>
      <c r="FE17" s="80"/>
      <c r="FF17" s="81"/>
      <c r="FG17" s="82"/>
      <c r="FH17" s="83"/>
      <c r="FI17" s="78"/>
      <c r="FJ17" s="79"/>
      <c r="FK17" s="79"/>
      <c r="FL17" s="80"/>
      <c r="FM17" s="81"/>
      <c r="FN17" s="82"/>
      <c r="FO17" s="83"/>
      <c r="FP17" s="78"/>
      <c r="FQ17" s="79"/>
      <c r="FR17" s="79"/>
      <c r="FS17" s="80"/>
      <c r="FT17" s="81"/>
      <c r="FU17" s="82"/>
      <c r="FV17" s="83"/>
      <c r="FW17" s="78"/>
      <c r="FX17" s="79"/>
      <c r="FY17" s="79"/>
      <c r="FZ17" s="80"/>
      <c r="GA17" s="81"/>
      <c r="GB17" s="82"/>
      <c r="GC17" s="83"/>
      <c r="GD17" s="78"/>
      <c r="GE17" s="79"/>
      <c r="GF17" s="79"/>
      <c r="GG17" s="80"/>
      <c r="GH17" s="81"/>
      <c r="GI17" s="82"/>
      <c r="GJ17" s="83"/>
      <c r="GK17" s="78"/>
      <c r="GL17" s="79"/>
      <c r="GM17" s="79"/>
      <c r="GN17" s="80"/>
      <c r="GO17" s="81"/>
      <c r="GP17" s="82"/>
      <c r="GQ17" s="83"/>
      <c r="GR17" s="78"/>
      <c r="GS17" s="79"/>
      <c r="GT17" s="79"/>
      <c r="GU17" s="80"/>
      <c r="GV17" s="81"/>
      <c r="GW17" s="82"/>
      <c r="GX17" s="83"/>
      <c r="GY17" s="78"/>
      <c r="GZ17" s="79"/>
      <c r="HA17" s="79"/>
      <c r="HB17" s="80"/>
      <c r="HC17" s="81"/>
      <c r="HD17" s="82"/>
      <c r="HE17" s="83"/>
      <c r="HF17" s="78"/>
      <c r="HG17" s="79"/>
      <c r="HH17" s="79"/>
      <c r="HI17" s="80"/>
      <c r="HJ17" s="81"/>
      <c r="HK17" s="82"/>
      <c r="HL17" s="83"/>
      <c r="HM17" s="78"/>
      <c r="HN17" s="79"/>
      <c r="HO17" s="79"/>
      <c r="HP17" s="80"/>
      <c r="HQ17" s="81"/>
      <c r="HR17" s="82"/>
      <c r="HS17" s="83"/>
      <c r="HT17" s="78"/>
      <c r="HU17" s="79"/>
      <c r="HV17" s="79"/>
      <c r="HW17" s="80"/>
      <c r="HX17" s="81"/>
      <c r="HY17" s="82"/>
      <c r="HZ17" s="83"/>
      <c r="IA17" s="78"/>
      <c r="IB17" s="79"/>
      <c r="IC17" s="79"/>
      <c r="ID17" s="80"/>
      <c r="IE17" s="81"/>
      <c r="IF17" s="82"/>
      <c r="IG17" s="83"/>
      <c r="IH17" s="78"/>
      <c r="II17" s="79"/>
      <c r="IJ17" s="79"/>
      <c r="IK17" s="80"/>
      <c r="IL17" s="81"/>
      <c r="IM17" s="82"/>
      <c r="IN17" s="83"/>
      <c r="IO17" s="78"/>
      <c r="IP17" s="79"/>
      <c r="IQ17" s="79"/>
      <c r="IR17" s="80"/>
      <c r="IS17" s="81"/>
      <c r="IT17" s="82"/>
      <c r="IU17" s="83"/>
      <c r="IV17" s="78"/>
      <c r="IW17" s="79"/>
      <c r="IX17" s="79"/>
      <c r="IY17" s="80"/>
      <c r="IZ17" s="81"/>
      <c r="JA17" s="82"/>
      <c r="JB17" s="83"/>
      <c r="JC17" s="78"/>
      <c r="JD17" s="79"/>
      <c r="JE17" s="79"/>
      <c r="JF17" s="80"/>
      <c r="JG17" s="81"/>
      <c r="JH17" s="82"/>
      <c r="JI17" s="83"/>
      <c r="JJ17" s="78"/>
      <c r="JK17" s="79"/>
      <c r="JL17" s="79"/>
      <c r="JM17" s="80"/>
      <c r="JN17" s="81"/>
      <c r="JO17" s="82"/>
      <c r="JP17" s="83"/>
      <c r="JQ17" s="78"/>
      <c r="JR17" s="79"/>
      <c r="JS17" s="79"/>
      <c r="JT17" s="80"/>
      <c r="JU17" s="81"/>
      <c r="JV17" s="82"/>
      <c r="JW17" s="83"/>
      <c r="JX17" s="78"/>
      <c r="JY17" s="79"/>
      <c r="JZ17" s="79"/>
      <c r="KA17" s="80"/>
      <c r="KB17" s="81"/>
      <c r="KC17" s="82"/>
      <c r="KD17" s="83"/>
      <c r="KE17" s="78"/>
      <c r="KF17" s="79"/>
      <c r="KG17" s="79"/>
      <c r="KH17" s="80"/>
      <c r="KI17" s="81"/>
      <c r="KJ17" s="82"/>
      <c r="KK17" s="83"/>
      <c r="KL17" s="78"/>
      <c r="KM17" s="79"/>
      <c r="KN17" s="79"/>
      <c r="KO17" s="80"/>
      <c r="KP17" s="81"/>
      <c r="KQ17" s="82"/>
      <c r="KR17" s="83"/>
      <c r="KS17" s="78"/>
      <c r="KT17" s="79"/>
      <c r="KU17" s="79"/>
      <c r="KV17" s="80"/>
      <c r="KW17" s="81"/>
      <c r="KX17" s="82"/>
      <c r="KY17" s="83"/>
      <c r="KZ17" s="78"/>
      <c r="LA17" s="79"/>
      <c r="LB17" s="79"/>
      <c r="LC17" s="80"/>
      <c r="LD17" s="81"/>
      <c r="LE17" s="82"/>
      <c r="LF17" s="83"/>
      <c r="LG17" s="78"/>
      <c r="LH17" s="79"/>
      <c r="LI17" s="79"/>
      <c r="LJ17" s="80"/>
      <c r="LK17" s="81"/>
      <c r="LL17" s="82"/>
      <c r="LM17" s="83"/>
      <c r="LN17" s="78"/>
      <c r="LO17" s="79"/>
      <c r="LP17" s="79"/>
      <c r="LQ17" s="80"/>
      <c r="LR17" s="81"/>
      <c r="LS17" s="82"/>
      <c r="LT17" s="83"/>
      <c r="LU17" s="78"/>
      <c r="LV17" s="79"/>
      <c r="LW17" s="79"/>
      <c r="LX17" s="80"/>
      <c r="LY17" s="81"/>
      <c r="LZ17" s="82"/>
      <c r="MA17" s="83"/>
      <c r="MB17" s="78"/>
      <c r="MC17" s="79"/>
      <c r="MD17" s="79"/>
      <c r="ME17" s="80"/>
      <c r="MF17" s="81"/>
      <c r="MG17" s="82"/>
      <c r="MH17" s="83"/>
      <c r="MI17" s="78"/>
      <c r="MJ17" s="79"/>
      <c r="MK17" s="79"/>
      <c r="ML17" s="80"/>
      <c r="MM17" s="81"/>
      <c r="MN17" s="82"/>
      <c r="MO17" s="83"/>
      <c r="MP17" s="78"/>
      <c r="MQ17" s="79"/>
      <c r="MR17" s="79"/>
      <c r="MS17" s="80"/>
      <c r="MT17" s="81"/>
      <c r="MU17" s="82"/>
      <c r="MV17" s="83"/>
      <c r="MW17" s="78"/>
      <c r="MX17" s="79"/>
      <c r="MY17" s="79"/>
      <c r="MZ17" s="80"/>
      <c r="NA17" s="81"/>
      <c r="NB17" s="82"/>
      <c r="NC17" s="83"/>
      <c r="ND17" s="78"/>
      <c r="NE17" s="79"/>
      <c r="NF17" s="79"/>
      <c r="NG17" s="80"/>
      <c r="NH17" s="81"/>
      <c r="NI17" s="82"/>
      <c r="NJ17" s="83"/>
      <c r="NK17" s="78"/>
      <c r="NL17" s="79"/>
      <c r="NM17" s="79"/>
      <c r="NN17" s="80"/>
      <c r="NO17" s="81"/>
      <c r="NP17" s="82"/>
      <c r="NQ17" s="83"/>
    </row>
    <row r="18" spans="1:381" ht="15" customHeight="1" x14ac:dyDescent="0.15">
      <c r="A18" s="65">
        <v>13</v>
      </c>
      <c r="B18" s="76"/>
      <c r="C18" s="77">
        <v>0.20833333333333301</v>
      </c>
      <c r="D18" s="78"/>
      <c r="E18" s="79"/>
      <c r="F18" s="79"/>
      <c r="G18" s="80"/>
      <c r="H18" s="81"/>
      <c r="I18" s="82"/>
      <c r="J18" s="83"/>
      <c r="K18" s="78"/>
      <c r="L18" s="79"/>
      <c r="M18" s="79"/>
      <c r="N18" s="80"/>
      <c r="O18" s="81"/>
      <c r="P18" s="82"/>
      <c r="Q18" s="83"/>
      <c r="R18" s="78"/>
      <c r="S18" s="79"/>
      <c r="T18" s="79"/>
      <c r="U18" s="80"/>
      <c r="V18" s="81"/>
      <c r="W18" s="82"/>
      <c r="X18" s="83"/>
      <c r="Y18" s="78"/>
      <c r="Z18" s="79"/>
      <c r="AA18" s="79"/>
      <c r="AB18" s="80"/>
      <c r="AC18" s="81"/>
      <c r="AD18" s="82"/>
      <c r="AE18" s="83"/>
      <c r="AF18" s="78"/>
      <c r="AG18" s="79"/>
      <c r="AH18" s="79"/>
      <c r="AI18" s="80"/>
      <c r="AJ18" s="81"/>
      <c r="AK18" s="82"/>
      <c r="AL18" s="83"/>
      <c r="AM18" s="78"/>
      <c r="AN18" s="79"/>
      <c r="AO18" s="79"/>
      <c r="AP18" s="80"/>
      <c r="AQ18" s="81"/>
      <c r="AR18" s="82"/>
      <c r="AS18" s="83"/>
      <c r="AT18" s="78"/>
      <c r="AU18" s="79"/>
      <c r="AV18" s="79"/>
      <c r="AW18" s="80"/>
      <c r="AX18" s="81"/>
      <c r="AY18" s="82"/>
      <c r="AZ18" s="83"/>
      <c r="BA18" s="78"/>
      <c r="BB18" s="79"/>
      <c r="BC18" s="79"/>
      <c r="BD18" s="80"/>
      <c r="BE18" s="81"/>
      <c r="BF18" s="82"/>
      <c r="BG18" s="83"/>
      <c r="BH18" s="78"/>
      <c r="BI18" s="79"/>
      <c r="BJ18" s="79"/>
      <c r="BK18" s="80"/>
      <c r="BL18" s="81"/>
      <c r="BM18" s="82"/>
      <c r="BN18" s="83"/>
      <c r="BO18" s="78"/>
      <c r="BP18" s="79"/>
      <c r="BQ18" s="79"/>
      <c r="BR18" s="80"/>
      <c r="BS18" s="81"/>
      <c r="BT18" s="82"/>
      <c r="BU18" s="83"/>
      <c r="BV18" s="78"/>
      <c r="BW18" s="79"/>
      <c r="BX18" s="79"/>
      <c r="BY18" s="80"/>
      <c r="BZ18" s="81"/>
      <c r="CA18" s="82"/>
      <c r="CB18" s="83"/>
      <c r="CC18" s="78"/>
      <c r="CD18" s="79"/>
      <c r="CE18" s="79"/>
      <c r="CF18" s="80"/>
      <c r="CG18" s="81"/>
      <c r="CH18" s="82"/>
      <c r="CI18" s="83"/>
      <c r="CJ18" s="78"/>
      <c r="CK18" s="79"/>
      <c r="CL18" s="79"/>
      <c r="CM18" s="80"/>
      <c r="CN18" s="81"/>
      <c r="CO18" s="82"/>
      <c r="CP18" s="83"/>
      <c r="CQ18" s="78"/>
      <c r="CR18" s="79"/>
      <c r="CS18" s="79"/>
      <c r="CT18" s="80"/>
      <c r="CU18" s="81"/>
      <c r="CV18" s="82"/>
      <c r="CW18" s="83"/>
      <c r="CX18" s="78"/>
      <c r="CY18" s="79"/>
      <c r="CZ18" s="79"/>
      <c r="DA18" s="80"/>
      <c r="DB18" s="81"/>
      <c r="DC18" s="82"/>
      <c r="DD18" s="83"/>
      <c r="DE18" s="78"/>
      <c r="DF18" s="79"/>
      <c r="DG18" s="79"/>
      <c r="DH18" s="80"/>
      <c r="DI18" s="81"/>
      <c r="DJ18" s="82"/>
      <c r="DK18" s="83"/>
      <c r="DL18" s="78"/>
      <c r="DM18" s="79"/>
      <c r="DN18" s="79"/>
      <c r="DO18" s="80"/>
      <c r="DP18" s="81"/>
      <c r="DQ18" s="82"/>
      <c r="DR18" s="83"/>
      <c r="DS18" s="78"/>
      <c r="DT18" s="79"/>
      <c r="DU18" s="79"/>
      <c r="DV18" s="80"/>
      <c r="DW18" s="81"/>
      <c r="DX18" s="82"/>
      <c r="DY18" s="83"/>
      <c r="DZ18" s="78"/>
      <c r="EA18" s="79"/>
      <c r="EB18" s="79"/>
      <c r="EC18" s="80"/>
      <c r="ED18" s="81"/>
      <c r="EE18" s="82"/>
      <c r="EF18" s="83"/>
      <c r="EG18" s="78"/>
      <c r="EH18" s="79"/>
      <c r="EI18" s="79"/>
      <c r="EJ18" s="80"/>
      <c r="EK18" s="81"/>
      <c r="EL18" s="82"/>
      <c r="EM18" s="83"/>
      <c r="EN18" s="78"/>
      <c r="EO18" s="79"/>
      <c r="EP18" s="79"/>
      <c r="EQ18" s="80"/>
      <c r="ER18" s="81"/>
      <c r="ES18" s="82"/>
      <c r="ET18" s="83"/>
      <c r="EU18" s="78"/>
      <c r="EV18" s="79"/>
      <c r="EW18" s="79"/>
      <c r="EX18" s="80"/>
      <c r="EY18" s="81"/>
      <c r="EZ18" s="82"/>
      <c r="FA18" s="83"/>
      <c r="FB18" s="78"/>
      <c r="FC18" s="79"/>
      <c r="FD18" s="79"/>
      <c r="FE18" s="80"/>
      <c r="FF18" s="81"/>
      <c r="FG18" s="82"/>
      <c r="FH18" s="83"/>
      <c r="FI18" s="78"/>
      <c r="FJ18" s="79"/>
      <c r="FK18" s="79"/>
      <c r="FL18" s="80"/>
      <c r="FM18" s="81"/>
      <c r="FN18" s="82"/>
      <c r="FO18" s="83"/>
      <c r="FP18" s="78"/>
      <c r="FQ18" s="79"/>
      <c r="FR18" s="79"/>
      <c r="FS18" s="80"/>
      <c r="FT18" s="81"/>
      <c r="FU18" s="82"/>
      <c r="FV18" s="83"/>
      <c r="FW18" s="78"/>
      <c r="FX18" s="79"/>
      <c r="FY18" s="79"/>
      <c r="FZ18" s="80"/>
      <c r="GA18" s="81"/>
      <c r="GB18" s="82"/>
      <c r="GC18" s="83"/>
      <c r="GD18" s="78"/>
      <c r="GE18" s="79"/>
      <c r="GF18" s="79"/>
      <c r="GG18" s="80"/>
      <c r="GH18" s="81"/>
      <c r="GI18" s="82"/>
      <c r="GJ18" s="83"/>
      <c r="GK18" s="78"/>
      <c r="GL18" s="79"/>
      <c r="GM18" s="79"/>
      <c r="GN18" s="80"/>
      <c r="GO18" s="81"/>
      <c r="GP18" s="82"/>
      <c r="GQ18" s="83"/>
      <c r="GR18" s="78"/>
      <c r="GS18" s="79"/>
      <c r="GT18" s="79"/>
      <c r="GU18" s="80"/>
      <c r="GV18" s="81"/>
      <c r="GW18" s="82"/>
      <c r="GX18" s="83"/>
      <c r="GY18" s="78"/>
      <c r="GZ18" s="79"/>
      <c r="HA18" s="79"/>
      <c r="HB18" s="80"/>
      <c r="HC18" s="81"/>
      <c r="HD18" s="82"/>
      <c r="HE18" s="83"/>
      <c r="HF18" s="78"/>
      <c r="HG18" s="79"/>
      <c r="HH18" s="79"/>
      <c r="HI18" s="80"/>
      <c r="HJ18" s="81"/>
      <c r="HK18" s="82"/>
      <c r="HL18" s="83"/>
      <c r="HM18" s="78"/>
      <c r="HN18" s="79"/>
      <c r="HO18" s="79"/>
      <c r="HP18" s="80"/>
      <c r="HQ18" s="81"/>
      <c r="HR18" s="82"/>
      <c r="HS18" s="83"/>
      <c r="HT18" s="78"/>
      <c r="HU18" s="79"/>
      <c r="HV18" s="79"/>
      <c r="HW18" s="80"/>
      <c r="HX18" s="81"/>
      <c r="HY18" s="82"/>
      <c r="HZ18" s="83"/>
      <c r="IA18" s="78"/>
      <c r="IB18" s="79"/>
      <c r="IC18" s="79"/>
      <c r="ID18" s="80"/>
      <c r="IE18" s="81"/>
      <c r="IF18" s="82"/>
      <c r="IG18" s="83"/>
      <c r="IH18" s="78"/>
      <c r="II18" s="79"/>
      <c r="IJ18" s="79"/>
      <c r="IK18" s="80"/>
      <c r="IL18" s="81"/>
      <c r="IM18" s="82"/>
      <c r="IN18" s="83"/>
      <c r="IO18" s="78"/>
      <c r="IP18" s="79"/>
      <c r="IQ18" s="79"/>
      <c r="IR18" s="80"/>
      <c r="IS18" s="81"/>
      <c r="IT18" s="82"/>
      <c r="IU18" s="83"/>
      <c r="IV18" s="78"/>
      <c r="IW18" s="79"/>
      <c r="IX18" s="79"/>
      <c r="IY18" s="80"/>
      <c r="IZ18" s="81"/>
      <c r="JA18" s="82"/>
      <c r="JB18" s="83"/>
      <c r="JC18" s="78"/>
      <c r="JD18" s="79"/>
      <c r="JE18" s="79"/>
      <c r="JF18" s="80"/>
      <c r="JG18" s="81"/>
      <c r="JH18" s="82"/>
      <c r="JI18" s="83"/>
      <c r="JJ18" s="78"/>
      <c r="JK18" s="79"/>
      <c r="JL18" s="79"/>
      <c r="JM18" s="80"/>
      <c r="JN18" s="81"/>
      <c r="JO18" s="82"/>
      <c r="JP18" s="83"/>
      <c r="JQ18" s="78"/>
      <c r="JR18" s="79"/>
      <c r="JS18" s="79"/>
      <c r="JT18" s="80"/>
      <c r="JU18" s="81"/>
      <c r="JV18" s="82"/>
      <c r="JW18" s="83"/>
      <c r="JX18" s="78"/>
      <c r="JY18" s="79"/>
      <c r="JZ18" s="79"/>
      <c r="KA18" s="80"/>
      <c r="KB18" s="81"/>
      <c r="KC18" s="82"/>
      <c r="KD18" s="83"/>
      <c r="KE18" s="78"/>
      <c r="KF18" s="79"/>
      <c r="KG18" s="79"/>
      <c r="KH18" s="80"/>
      <c r="KI18" s="81"/>
      <c r="KJ18" s="82"/>
      <c r="KK18" s="83"/>
      <c r="KL18" s="78"/>
      <c r="KM18" s="79"/>
      <c r="KN18" s="79"/>
      <c r="KO18" s="80"/>
      <c r="KP18" s="81"/>
      <c r="KQ18" s="82"/>
      <c r="KR18" s="83"/>
      <c r="KS18" s="78"/>
      <c r="KT18" s="79"/>
      <c r="KU18" s="79"/>
      <c r="KV18" s="80"/>
      <c r="KW18" s="81"/>
      <c r="KX18" s="82"/>
      <c r="KY18" s="83"/>
      <c r="KZ18" s="78"/>
      <c r="LA18" s="79"/>
      <c r="LB18" s="79"/>
      <c r="LC18" s="80"/>
      <c r="LD18" s="81"/>
      <c r="LE18" s="82"/>
      <c r="LF18" s="83"/>
      <c r="LG18" s="78"/>
      <c r="LH18" s="79"/>
      <c r="LI18" s="79"/>
      <c r="LJ18" s="80"/>
      <c r="LK18" s="81"/>
      <c r="LL18" s="82"/>
      <c r="LM18" s="83"/>
      <c r="LN18" s="78"/>
      <c r="LO18" s="79"/>
      <c r="LP18" s="79"/>
      <c r="LQ18" s="80"/>
      <c r="LR18" s="81"/>
      <c r="LS18" s="82"/>
      <c r="LT18" s="83"/>
      <c r="LU18" s="78"/>
      <c r="LV18" s="79"/>
      <c r="LW18" s="79"/>
      <c r="LX18" s="80"/>
      <c r="LY18" s="81"/>
      <c r="LZ18" s="82"/>
      <c r="MA18" s="83"/>
      <c r="MB18" s="78"/>
      <c r="MC18" s="79"/>
      <c r="MD18" s="79"/>
      <c r="ME18" s="80"/>
      <c r="MF18" s="81"/>
      <c r="MG18" s="82"/>
      <c r="MH18" s="83"/>
      <c r="MI18" s="78"/>
      <c r="MJ18" s="79"/>
      <c r="MK18" s="79"/>
      <c r="ML18" s="80"/>
      <c r="MM18" s="81"/>
      <c r="MN18" s="82"/>
      <c r="MO18" s="83"/>
      <c r="MP18" s="78"/>
      <c r="MQ18" s="79"/>
      <c r="MR18" s="79"/>
      <c r="MS18" s="80"/>
      <c r="MT18" s="81"/>
      <c r="MU18" s="82"/>
      <c r="MV18" s="83"/>
      <c r="MW18" s="78"/>
      <c r="MX18" s="79"/>
      <c r="MY18" s="79"/>
      <c r="MZ18" s="80"/>
      <c r="NA18" s="81"/>
      <c r="NB18" s="82"/>
      <c r="NC18" s="83"/>
      <c r="ND18" s="78"/>
      <c r="NE18" s="79"/>
      <c r="NF18" s="79"/>
      <c r="NG18" s="80"/>
      <c r="NH18" s="81"/>
      <c r="NI18" s="82"/>
      <c r="NJ18" s="83"/>
      <c r="NK18" s="78"/>
      <c r="NL18" s="79"/>
      <c r="NM18" s="79"/>
      <c r="NN18" s="80"/>
      <c r="NO18" s="81"/>
      <c r="NP18" s="82"/>
      <c r="NQ18" s="83"/>
    </row>
    <row r="19" spans="1:381" ht="15" customHeight="1" x14ac:dyDescent="0.15">
      <c r="A19" s="65">
        <v>14</v>
      </c>
      <c r="B19" s="76"/>
      <c r="C19" s="77"/>
      <c r="D19" s="78"/>
      <c r="E19" s="79"/>
      <c r="F19" s="79"/>
      <c r="G19" s="80"/>
      <c r="H19" s="81"/>
      <c r="I19" s="82"/>
      <c r="J19" s="83"/>
      <c r="K19" s="78"/>
      <c r="L19" s="79"/>
      <c r="M19" s="79"/>
      <c r="N19" s="80"/>
      <c r="O19" s="81"/>
      <c r="P19" s="82"/>
      <c r="Q19" s="83"/>
      <c r="R19" s="78"/>
      <c r="S19" s="79"/>
      <c r="T19" s="79"/>
      <c r="U19" s="80"/>
      <c r="V19" s="81"/>
      <c r="W19" s="82"/>
      <c r="X19" s="83"/>
      <c r="Y19" s="78"/>
      <c r="Z19" s="79"/>
      <c r="AA19" s="79"/>
      <c r="AB19" s="80"/>
      <c r="AC19" s="81"/>
      <c r="AD19" s="82"/>
      <c r="AE19" s="83"/>
      <c r="AF19" s="78"/>
      <c r="AG19" s="79"/>
      <c r="AH19" s="79"/>
      <c r="AI19" s="80"/>
      <c r="AJ19" s="81"/>
      <c r="AK19" s="82"/>
      <c r="AL19" s="83"/>
      <c r="AM19" s="78"/>
      <c r="AN19" s="79"/>
      <c r="AO19" s="79"/>
      <c r="AP19" s="80"/>
      <c r="AQ19" s="81"/>
      <c r="AR19" s="82"/>
      <c r="AS19" s="83"/>
      <c r="AT19" s="78"/>
      <c r="AU19" s="79"/>
      <c r="AV19" s="79"/>
      <c r="AW19" s="80"/>
      <c r="AX19" s="81"/>
      <c r="AY19" s="82"/>
      <c r="AZ19" s="83"/>
      <c r="BA19" s="78"/>
      <c r="BB19" s="79"/>
      <c r="BC19" s="79"/>
      <c r="BD19" s="80"/>
      <c r="BE19" s="81"/>
      <c r="BF19" s="82"/>
      <c r="BG19" s="83"/>
      <c r="BH19" s="78"/>
      <c r="BI19" s="79"/>
      <c r="BJ19" s="79"/>
      <c r="BK19" s="80"/>
      <c r="BL19" s="81"/>
      <c r="BM19" s="82"/>
      <c r="BN19" s="83"/>
      <c r="BO19" s="78"/>
      <c r="BP19" s="79"/>
      <c r="BQ19" s="79"/>
      <c r="BR19" s="80"/>
      <c r="BS19" s="81"/>
      <c r="BT19" s="82"/>
      <c r="BU19" s="83"/>
      <c r="BV19" s="78"/>
      <c r="BW19" s="79"/>
      <c r="BX19" s="79"/>
      <c r="BY19" s="80"/>
      <c r="BZ19" s="81"/>
      <c r="CA19" s="82"/>
      <c r="CB19" s="83"/>
      <c r="CC19" s="78"/>
      <c r="CD19" s="79"/>
      <c r="CE19" s="79"/>
      <c r="CF19" s="80"/>
      <c r="CG19" s="81"/>
      <c r="CH19" s="82"/>
      <c r="CI19" s="83"/>
      <c r="CJ19" s="78"/>
      <c r="CK19" s="79"/>
      <c r="CL19" s="79"/>
      <c r="CM19" s="80"/>
      <c r="CN19" s="81"/>
      <c r="CO19" s="82"/>
      <c r="CP19" s="83"/>
      <c r="CQ19" s="78"/>
      <c r="CR19" s="79"/>
      <c r="CS19" s="79"/>
      <c r="CT19" s="80"/>
      <c r="CU19" s="81"/>
      <c r="CV19" s="82"/>
      <c r="CW19" s="83"/>
      <c r="CX19" s="78"/>
      <c r="CY19" s="79"/>
      <c r="CZ19" s="79"/>
      <c r="DA19" s="80"/>
      <c r="DB19" s="81"/>
      <c r="DC19" s="82"/>
      <c r="DD19" s="83"/>
      <c r="DE19" s="78"/>
      <c r="DF19" s="79"/>
      <c r="DG19" s="79"/>
      <c r="DH19" s="80"/>
      <c r="DI19" s="81"/>
      <c r="DJ19" s="82"/>
      <c r="DK19" s="83"/>
      <c r="DL19" s="78"/>
      <c r="DM19" s="79"/>
      <c r="DN19" s="79"/>
      <c r="DO19" s="80"/>
      <c r="DP19" s="81"/>
      <c r="DQ19" s="82"/>
      <c r="DR19" s="83"/>
      <c r="DS19" s="78"/>
      <c r="DT19" s="79"/>
      <c r="DU19" s="79"/>
      <c r="DV19" s="80"/>
      <c r="DW19" s="81"/>
      <c r="DX19" s="82"/>
      <c r="DY19" s="83"/>
      <c r="DZ19" s="78"/>
      <c r="EA19" s="79"/>
      <c r="EB19" s="79"/>
      <c r="EC19" s="80"/>
      <c r="ED19" s="81"/>
      <c r="EE19" s="82"/>
      <c r="EF19" s="83"/>
      <c r="EG19" s="78"/>
      <c r="EH19" s="79"/>
      <c r="EI19" s="79"/>
      <c r="EJ19" s="80"/>
      <c r="EK19" s="81"/>
      <c r="EL19" s="82"/>
      <c r="EM19" s="83"/>
      <c r="EN19" s="78"/>
      <c r="EO19" s="79"/>
      <c r="EP19" s="79"/>
      <c r="EQ19" s="80"/>
      <c r="ER19" s="81"/>
      <c r="ES19" s="82"/>
      <c r="ET19" s="83"/>
      <c r="EU19" s="78"/>
      <c r="EV19" s="79"/>
      <c r="EW19" s="79"/>
      <c r="EX19" s="80"/>
      <c r="EY19" s="81"/>
      <c r="EZ19" s="82"/>
      <c r="FA19" s="83"/>
      <c r="FB19" s="78"/>
      <c r="FC19" s="79"/>
      <c r="FD19" s="79"/>
      <c r="FE19" s="80"/>
      <c r="FF19" s="81"/>
      <c r="FG19" s="82"/>
      <c r="FH19" s="83"/>
      <c r="FI19" s="78"/>
      <c r="FJ19" s="79"/>
      <c r="FK19" s="79"/>
      <c r="FL19" s="80"/>
      <c r="FM19" s="81"/>
      <c r="FN19" s="82"/>
      <c r="FO19" s="83"/>
      <c r="FP19" s="78"/>
      <c r="FQ19" s="79"/>
      <c r="FR19" s="79"/>
      <c r="FS19" s="80"/>
      <c r="FT19" s="81"/>
      <c r="FU19" s="82"/>
      <c r="FV19" s="83"/>
      <c r="FW19" s="78"/>
      <c r="FX19" s="79"/>
      <c r="FY19" s="79"/>
      <c r="FZ19" s="80"/>
      <c r="GA19" s="81"/>
      <c r="GB19" s="82"/>
      <c r="GC19" s="83"/>
      <c r="GD19" s="78"/>
      <c r="GE19" s="79"/>
      <c r="GF19" s="79"/>
      <c r="GG19" s="80"/>
      <c r="GH19" s="81"/>
      <c r="GI19" s="82"/>
      <c r="GJ19" s="83"/>
      <c r="GK19" s="78"/>
      <c r="GL19" s="79"/>
      <c r="GM19" s="79"/>
      <c r="GN19" s="80"/>
      <c r="GO19" s="81"/>
      <c r="GP19" s="82"/>
      <c r="GQ19" s="83"/>
      <c r="GR19" s="78"/>
      <c r="GS19" s="79"/>
      <c r="GT19" s="79"/>
      <c r="GU19" s="80"/>
      <c r="GV19" s="81"/>
      <c r="GW19" s="82"/>
      <c r="GX19" s="83"/>
      <c r="GY19" s="78"/>
      <c r="GZ19" s="79"/>
      <c r="HA19" s="79"/>
      <c r="HB19" s="80"/>
      <c r="HC19" s="81"/>
      <c r="HD19" s="82"/>
      <c r="HE19" s="83"/>
      <c r="HF19" s="78"/>
      <c r="HG19" s="79"/>
      <c r="HH19" s="79"/>
      <c r="HI19" s="80"/>
      <c r="HJ19" s="81"/>
      <c r="HK19" s="82"/>
      <c r="HL19" s="83"/>
      <c r="HM19" s="78"/>
      <c r="HN19" s="79"/>
      <c r="HO19" s="79"/>
      <c r="HP19" s="80"/>
      <c r="HQ19" s="81"/>
      <c r="HR19" s="82"/>
      <c r="HS19" s="83"/>
      <c r="HT19" s="78"/>
      <c r="HU19" s="79"/>
      <c r="HV19" s="79"/>
      <c r="HW19" s="80"/>
      <c r="HX19" s="81"/>
      <c r="HY19" s="82"/>
      <c r="HZ19" s="83"/>
      <c r="IA19" s="78"/>
      <c r="IB19" s="79"/>
      <c r="IC19" s="79"/>
      <c r="ID19" s="80"/>
      <c r="IE19" s="81"/>
      <c r="IF19" s="82"/>
      <c r="IG19" s="83"/>
      <c r="IH19" s="78"/>
      <c r="II19" s="79"/>
      <c r="IJ19" s="79"/>
      <c r="IK19" s="80"/>
      <c r="IL19" s="81"/>
      <c r="IM19" s="82"/>
      <c r="IN19" s="83"/>
      <c r="IO19" s="78"/>
      <c r="IP19" s="79"/>
      <c r="IQ19" s="79"/>
      <c r="IR19" s="80"/>
      <c r="IS19" s="81"/>
      <c r="IT19" s="82"/>
      <c r="IU19" s="83"/>
      <c r="IV19" s="78"/>
      <c r="IW19" s="79"/>
      <c r="IX19" s="79"/>
      <c r="IY19" s="80"/>
      <c r="IZ19" s="81"/>
      <c r="JA19" s="82"/>
      <c r="JB19" s="83"/>
      <c r="JC19" s="78"/>
      <c r="JD19" s="79"/>
      <c r="JE19" s="79"/>
      <c r="JF19" s="80"/>
      <c r="JG19" s="81"/>
      <c r="JH19" s="82"/>
      <c r="JI19" s="83"/>
      <c r="JJ19" s="78"/>
      <c r="JK19" s="79"/>
      <c r="JL19" s="79"/>
      <c r="JM19" s="80"/>
      <c r="JN19" s="81"/>
      <c r="JO19" s="82"/>
      <c r="JP19" s="83"/>
      <c r="JQ19" s="78"/>
      <c r="JR19" s="79"/>
      <c r="JS19" s="79"/>
      <c r="JT19" s="80"/>
      <c r="JU19" s="81"/>
      <c r="JV19" s="82"/>
      <c r="JW19" s="83"/>
      <c r="JX19" s="78"/>
      <c r="JY19" s="79"/>
      <c r="JZ19" s="79"/>
      <c r="KA19" s="80"/>
      <c r="KB19" s="81"/>
      <c r="KC19" s="82"/>
      <c r="KD19" s="83"/>
      <c r="KE19" s="78"/>
      <c r="KF19" s="79"/>
      <c r="KG19" s="79"/>
      <c r="KH19" s="80"/>
      <c r="KI19" s="81"/>
      <c r="KJ19" s="82"/>
      <c r="KK19" s="83"/>
      <c r="KL19" s="78"/>
      <c r="KM19" s="79"/>
      <c r="KN19" s="79"/>
      <c r="KO19" s="80"/>
      <c r="KP19" s="81"/>
      <c r="KQ19" s="82"/>
      <c r="KR19" s="83"/>
      <c r="KS19" s="78"/>
      <c r="KT19" s="79"/>
      <c r="KU19" s="79"/>
      <c r="KV19" s="80"/>
      <c r="KW19" s="81"/>
      <c r="KX19" s="82"/>
      <c r="KY19" s="83"/>
      <c r="KZ19" s="78"/>
      <c r="LA19" s="79"/>
      <c r="LB19" s="79"/>
      <c r="LC19" s="80"/>
      <c r="LD19" s="81"/>
      <c r="LE19" s="82"/>
      <c r="LF19" s="83"/>
      <c r="LG19" s="78"/>
      <c r="LH19" s="79"/>
      <c r="LI19" s="79"/>
      <c r="LJ19" s="80"/>
      <c r="LK19" s="81"/>
      <c r="LL19" s="82"/>
      <c r="LM19" s="83"/>
      <c r="LN19" s="78"/>
      <c r="LO19" s="79"/>
      <c r="LP19" s="79"/>
      <c r="LQ19" s="80"/>
      <c r="LR19" s="81"/>
      <c r="LS19" s="82"/>
      <c r="LT19" s="83"/>
      <c r="LU19" s="78"/>
      <c r="LV19" s="79"/>
      <c r="LW19" s="79"/>
      <c r="LX19" s="80"/>
      <c r="LY19" s="81"/>
      <c r="LZ19" s="82"/>
      <c r="MA19" s="83"/>
      <c r="MB19" s="78"/>
      <c r="MC19" s="79"/>
      <c r="MD19" s="79"/>
      <c r="ME19" s="80"/>
      <c r="MF19" s="81"/>
      <c r="MG19" s="82"/>
      <c r="MH19" s="83"/>
      <c r="MI19" s="78"/>
      <c r="MJ19" s="79"/>
      <c r="MK19" s="79"/>
      <c r="ML19" s="80"/>
      <c r="MM19" s="81"/>
      <c r="MN19" s="82"/>
      <c r="MO19" s="83"/>
      <c r="MP19" s="78"/>
      <c r="MQ19" s="79"/>
      <c r="MR19" s="79"/>
      <c r="MS19" s="80"/>
      <c r="MT19" s="81"/>
      <c r="MU19" s="82"/>
      <c r="MV19" s="83"/>
      <c r="MW19" s="78"/>
      <c r="MX19" s="79"/>
      <c r="MY19" s="79"/>
      <c r="MZ19" s="80"/>
      <c r="NA19" s="81"/>
      <c r="NB19" s="82"/>
      <c r="NC19" s="83"/>
      <c r="ND19" s="78"/>
      <c r="NE19" s="79"/>
      <c r="NF19" s="79"/>
      <c r="NG19" s="80"/>
      <c r="NH19" s="81"/>
      <c r="NI19" s="82"/>
      <c r="NJ19" s="83"/>
      <c r="NK19" s="78"/>
      <c r="NL19" s="79"/>
      <c r="NM19" s="79"/>
      <c r="NN19" s="80"/>
      <c r="NO19" s="81"/>
      <c r="NP19" s="82"/>
      <c r="NQ19" s="83"/>
    </row>
    <row r="20" spans="1:381" ht="15" customHeight="1" x14ac:dyDescent="0.15">
      <c r="A20" s="65">
        <v>15</v>
      </c>
      <c r="B20" s="76"/>
      <c r="C20" s="77">
        <v>0.25</v>
      </c>
      <c r="D20" s="78"/>
      <c r="E20" s="79"/>
      <c r="F20" s="79"/>
      <c r="G20" s="80"/>
      <c r="H20" s="81"/>
      <c r="I20" s="82"/>
      <c r="J20" s="83"/>
      <c r="K20" s="78"/>
      <c r="L20" s="79"/>
      <c r="M20" s="79"/>
      <c r="N20" s="80"/>
      <c r="O20" s="81"/>
      <c r="P20" s="82"/>
      <c r="Q20" s="83"/>
      <c r="R20" s="78"/>
      <c r="S20" s="79"/>
      <c r="T20" s="79"/>
      <c r="U20" s="80"/>
      <c r="V20" s="81"/>
      <c r="W20" s="82"/>
      <c r="X20" s="83"/>
      <c r="Y20" s="78"/>
      <c r="Z20" s="79"/>
      <c r="AA20" s="79"/>
      <c r="AB20" s="80"/>
      <c r="AC20" s="81"/>
      <c r="AD20" s="82"/>
      <c r="AE20" s="83"/>
      <c r="AF20" s="78"/>
      <c r="AG20" s="79"/>
      <c r="AH20" s="79"/>
      <c r="AI20" s="80"/>
      <c r="AJ20" s="81"/>
      <c r="AK20" s="82"/>
      <c r="AL20" s="83"/>
      <c r="AM20" s="78"/>
      <c r="AN20" s="79"/>
      <c r="AO20" s="79"/>
      <c r="AP20" s="80"/>
      <c r="AQ20" s="81"/>
      <c r="AR20" s="82"/>
      <c r="AS20" s="83"/>
      <c r="AT20" s="78"/>
      <c r="AU20" s="79"/>
      <c r="AV20" s="79"/>
      <c r="AW20" s="80"/>
      <c r="AX20" s="81"/>
      <c r="AY20" s="82"/>
      <c r="AZ20" s="83"/>
      <c r="BA20" s="78"/>
      <c r="BB20" s="79"/>
      <c r="BC20" s="79"/>
      <c r="BD20" s="80"/>
      <c r="BE20" s="81"/>
      <c r="BF20" s="82"/>
      <c r="BG20" s="83"/>
      <c r="BH20" s="78"/>
      <c r="BI20" s="79"/>
      <c r="BJ20" s="79"/>
      <c r="BK20" s="80"/>
      <c r="BL20" s="81"/>
      <c r="BM20" s="82"/>
      <c r="BN20" s="83"/>
      <c r="BO20" s="78"/>
      <c r="BP20" s="79"/>
      <c r="BQ20" s="79"/>
      <c r="BR20" s="80"/>
      <c r="BS20" s="81"/>
      <c r="BT20" s="82"/>
      <c r="BU20" s="83"/>
      <c r="BV20" s="78"/>
      <c r="BW20" s="79"/>
      <c r="BX20" s="79"/>
      <c r="BY20" s="80"/>
      <c r="BZ20" s="81"/>
      <c r="CA20" s="82"/>
      <c r="CB20" s="83"/>
      <c r="CC20" s="78"/>
      <c r="CD20" s="79"/>
      <c r="CE20" s="79"/>
      <c r="CF20" s="80"/>
      <c r="CG20" s="81"/>
      <c r="CH20" s="82"/>
      <c r="CI20" s="83"/>
      <c r="CJ20" s="78"/>
      <c r="CK20" s="79"/>
      <c r="CL20" s="79"/>
      <c r="CM20" s="80"/>
      <c r="CN20" s="81"/>
      <c r="CO20" s="82"/>
      <c r="CP20" s="83"/>
      <c r="CQ20" s="78"/>
      <c r="CR20" s="79"/>
      <c r="CS20" s="79"/>
      <c r="CT20" s="80"/>
      <c r="CU20" s="81"/>
      <c r="CV20" s="82"/>
      <c r="CW20" s="83"/>
      <c r="CX20" s="78"/>
      <c r="CY20" s="79"/>
      <c r="CZ20" s="79"/>
      <c r="DA20" s="80"/>
      <c r="DB20" s="81"/>
      <c r="DC20" s="82"/>
      <c r="DD20" s="83"/>
      <c r="DE20" s="78"/>
      <c r="DF20" s="79"/>
      <c r="DG20" s="79"/>
      <c r="DH20" s="80"/>
      <c r="DI20" s="81"/>
      <c r="DJ20" s="82"/>
      <c r="DK20" s="83"/>
      <c r="DL20" s="78"/>
      <c r="DM20" s="79"/>
      <c r="DN20" s="79"/>
      <c r="DO20" s="80"/>
      <c r="DP20" s="81"/>
      <c r="DQ20" s="82"/>
      <c r="DR20" s="83"/>
      <c r="DS20" s="78"/>
      <c r="DT20" s="79"/>
      <c r="DU20" s="79"/>
      <c r="DV20" s="80"/>
      <c r="DW20" s="81"/>
      <c r="DX20" s="82"/>
      <c r="DY20" s="83"/>
      <c r="DZ20" s="78"/>
      <c r="EA20" s="79"/>
      <c r="EB20" s="79"/>
      <c r="EC20" s="80"/>
      <c r="ED20" s="81"/>
      <c r="EE20" s="82"/>
      <c r="EF20" s="83"/>
      <c r="EG20" s="78"/>
      <c r="EH20" s="79"/>
      <c r="EI20" s="79"/>
      <c r="EJ20" s="80"/>
      <c r="EK20" s="81"/>
      <c r="EL20" s="82"/>
      <c r="EM20" s="83"/>
      <c r="EN20" s="78"/>
      <c r="EO20" s="79"/>
      <c r="EP20" s="79"/>
      <c r="EQ20" s="80"/>
      <c r="ER20" s="81"/>
      <c r="ES20" s="82"/>
      <c r="ET20" s="83"/>
      <c r="EU20" s="78"/>
      <c r="EV20" s="79"/>
      <c r="EW20" s="79"/>
      <c r="EX20" s="80"/>
      <c r="EY20" s="81"/>
      <c r="EZ20" s="82"/>
      <c r="FA20" s="83"/>
      <c r="FB20" s="78"/>
      <c r="FC20" s="79"/>
      <c r="FD20" s="79"/>
      <c r="FE20" s="80"/>
      <c r="FF20" s="81"/>
      <c r="FG20" s="82"/>
      <c r="FH20" s="83"/>
      <c r="FI20" s="78"/>
      <c r="FJ20" s="79"/>
      <c r="FK20" s="79"/>
      <c r="FL20" s="80"/>
      <c r="FM20" s="81"/>
      <c r="FN20" s="82"/>
      <c r="FO20" s="83"/>
      <c r="FP20" s="78"/>
      <c r="FQ20" s="79"/>
      <c r="FR20" s="79"/>
      <c r="FS20" s="80"/>
      <c r="FT20" s="81"/>
      <c r="FU20" s="82"/>
      <c r="FV20" s="83"/>
      <c r="FW20" s="78"/>
      <c r="FX20" s="79"/>
      <c r="FY20" s="79"/>
      <c r="FZ20" s="80"/>
      <c r="GA20" s="81"/>
      <c r="GB20" s="82"/>
      <c r="GC20" s="83"/>
      <c r="GD20" s="78"/>
      <c r="GE20" s="79"/>
      <c r="GF20" s="79"/>
      <c r="GG20" s="80"/>
      <c r="GH20" s="81"/>
      <c r="GI20" s="82"/>
      <c r="GJ20" s="83"/>
      <c r="GK20" s="78"/>
      <c r="GL20" s="79"/>
      <c r="GM20" s="79"/>
      <c r="GN20" s="80"/>
      <c r="GO20" s="81"/>
      <c r="GP20" s="82"/>
      <c r="GQ20" s="83"/>
      <c r="GR20" s="78"/>
      <c r="GS20" s="79"/>
      <c r="GT20" s="79"/>
      <c r="GU20" s="80"/>
      <c r="GV20" s="81"/>
      <c r="GW20" s="82"/>
      <c r="GX20" s="83"/>
      <c r="GY20" s="78"/>
      <c r="GZ20" s="79"/>
      <c r="HA20" s="79"/>
      <c r="HB20" s="80"/>
      <c r="HC20" s="81"/>
      <c r="HD20" s="82"/>
      <c r="HE20" s="83"/>
      <c r="HF20" s="78"/>
      <c r="HG20" s="79"/>
      <c r="HH20" s="79"/>
      <c r="HI20" s="80"/>
      <c r="HJ20" s="81"/>
      <c r="HK20" s="82"/>
      <c r="HL20" s="83"/>
      <c r="HM20" s="78"/>
      <c r="HN20" s="79"/>
      <c r="HO20" s="79"/>
      <c r="HP20" s="80"/>
      <c r="HQ20" s="81"/>
      <c r="HR20" s="82"/>
      <c r="HS20" s="83"/>
      <c r="HT20" s="78"/>
      <c r="HU20" s="79"/>
      <c r="HV20" s="79"/>
      <c r="HW20" s="80"/>
      <c r="HX20" s="81"/>
      <c r="HY20" s="82"/>
      <c r="HZ20" s="83"/>
      <c r="IA20" s="78"/>
      <c r="IB20" s="79"/>
      <c r="IC20" s="79"/>
      <c r="ID20" s="80"/>
      <c r="IE20" s="81"/>
      <c r="IF20" s="82"/>
      <c r="IG20" s="83"/>
      <c r="IH20" s="78"/>
      <c r="II20" s="79"/>
      <c r="IJ20" s="79"/>
      <c r="IK20" s="80"/>
      <c r="IL20" s="81"/>
      <c r="IM20" s="82"/>
      <c r="IN20" s="83"/>
      <c r="IO20" s="78"/>
      <c r="IP20" s="79"/>
      <c r="IQ20" s="79"/>
      <c r="IR20" s="80"/>
      <c r="IS20" s="81"/>
      <c r="IT20" s="82"/>
      <c r="IU20" s="83"/>
      <c r="IV20" s="78"/>
      <c r="IW20" s="79"/>
      <c r="IX20" s="79"/>
      <c r="IY20" s="80"/>
      <c r="IZ20" s="81"/>
      <c r="JA20" s="82"/>
      <c r="JB20" s="83"/>
      <c r="JC20" s="78"/>
      <c r="JD20" s="79"/>
      <c r="JE20" s="79"/>
      <c r="JF20" s="80"/>
      <c r="JG20" s="81"/>
      <c r="JH20" s="82"/>
      <c r="JI20" s="83"/>
      <c r="JJ20" s="78"/>
      <c r="JK20" s="79"/>
      <c r="JL20" s="79"/>
      <c r="JM20" s="80"/>
      <c r="JN20" s="81"/>
      <c r="JO20" s="82"/>
      <c r="JP20" s="83"/>
      <c r="JQ20" s="78"/>
      <c r="JR20" s="79"/>
      <c r="JS20" s="79"/>
      <c r="JT20" s="80"/>
      <c r="JU20" s="81"/>
      <c r="JV20" s="82"/>
      <c r="JW20" s="83"/>
      <c r="JX20" s="78"/>
      <c r="JY20" s="79"/>
      <c r="JZ20" s="79"/>
      <c r="KA20" s="80"/>
      <c r="KB20" s="81"/>
      <c r="KC20" s="82"/>
      <c r="KD20" s="83"/>
      <c r="KE20" s="78"/>
      <c r="KF20" s="79"/>
      <c r="KG20" s="79"/>
      <c r="KH20" s="80"/>
      <c r="KI20" s="81"/>
      <c r="KJ20" s="82"/>
      <c r="KK20" s="83"/>
      <c r="KL20" s="78"/>
      <c r="KM20" s="79"/>
      <c r="KN20" s="79"/>
      <c r="KO20" s="80"/>
      <c r="KP20" s="81"/>
      <c r="KQ20" s="82"/>
      <c r="KR20" s="83"/>
      <c r="KS20" s="78"/>
      <c r="KT20" s="79"/>
      <c r="KU20" s="79"/>
      <c r="KV20" s="80"/>
      <c r="KW20" s="81"/>
      <c r="KX20" s="82"/>
      <c r="KY20" s="83"/>
      <c r="KZ20" s="78"/>
      <c r="LA20" s="79"/>
      <c r="LB20" s="79"/>
      <c r="LC20" s="80"/>
      <c r="LD20" s="81"/>
      <c r="LE20" s="82"/>
      <c r="LF20" s="83"/>
      <c r="LG20" s="78"/>
      <c r="LH20" s="79"/>
      <c r="LI20" s="79"/>
      <c r="LJ20" s="80"/>
      <c r="LK20" s="81"/>
      <c r="LL20" s="82"/>
      <c r="LM20" s="83"/>
      <c r="LN20" s="78"/>
      <c r="LO20" s="79"/>
      <c r="LP20" s="79"/>
      <c r="LQ20" s="80"/>
      <c r="LR20" s="81"/>
      <c r="LS20" s="82"/>
      <c r="LT20" s="83"/>
      <c r="LU20" s="78"/>
      <c r="LV20" s="79"/>
      <c r="LW20" s="79"/>
      <c r="LX20" s="80"/>
      <c r="LY20" s="81"/>
      <c r="LZ20" s="82"/>
      <c r="MA20" s="83"/>
      <c r="MB20" s="78"/>
      <c r="MC20" s="79"/>
      <c r="MD20" s="79"/>
      <c r="ME20" s="80"/>
      <c r="MF20" s="81"/>
      <c r="MG20" s="82"/>
      <c r="MH20" s="83"/>
      <c r="MI20" s="78"/>
      <c r="MJ20" s="79"/>
      <c r="MK20" s="79"/>
      <c r="ML20" s="80"/>
      <c r="MM20" s="81"/>
      <c r="MN20" s="82"/>
      <c r="MO20" s="83"/>
      <c r="MP20" s="78"/>
      <c r="MQ20" s="79"/>
      <c r="MR20" s="79"/>
      <c r="MS20" s="80"/>
      <c r="MT20" s="81"/>
      <c r="MU20" s="82"/>
      <c r="MV20" s="83"/>
      <c r="MW20" s="78"/>
      <c r="MX20" s="79"/>
      <c r="MY20" s="79"/>
      <c r="MZ20" s="80"/>
      <c r="NA20" s="81"/>
      <c r="NB20" s="82"/>
      <c r="NC20" s="83"/>
      <c r="ND20" s="78"/>
      <c r="NE20" s="79"/>
      <c r="NF20" s="79"/>
      <c r="NG20" s="80"/>
      <c r="NH20" s="81"/>
      <c r="NI20" s="82"/>
      <c r="NJ20" s="83"/>
      <c r="NK20" s="78"/>
      <c r="NL20" s="79"/>
      <c r="NM20" s="79"/>
      <c r="NN20" s="80"/>
      <c r="NO20" s="81"/>
      <c r="NP20" s="82"/>
      <c r="NQ20" s="83"/>
    </row>
    <row r="21" spans="1:381" ht="15" customHeight="1" x14ac:dyDescent="0.15">
      <c r="A21" s="65">
        <v>16</v>
      </c>
      <c r="B21" s="76"/>
      <c r="C21" s="77"/>
      <c r="D21" s="78"/>
      <c r="E21" s="79"/>
      <c r="F21" s="79"/>
      <c r="G21" s="80"/>
      <c r="H21" s="81"/>
      <c r="I21" s="82"/>
      <c r="J21" s="83"/>
      <c r="K21" s="78"/>
      <c r="L21" s="79"/>
      <c r="M21" s="79"/>
      <c r="N21" s="80"/>
      <c r="O21" s="81"/>
      <c r="P21" s="82"/>
      <c r="Q21" s="83"/>
      <c r="R21" s="78"/>
      <c r="S21" s="79"/>
      <c r="T21" s="79"/>
      <c r="U21" s="80"/>
      <c r="V21" s="81"/>
      <c r="W21" s="82"/>
      <c r="X21" s="83"/>
      <c r="Y21" s="78"/>
      <c r="Z21" s="79"/>
      <c r="AA21" s="79"/>
      <c r="AB21" s="80"/>
      <c r="AC21" s="81"/>
      <c r="AD21" s="82"/>
      <c r="AE21" s="83"/>
      <c r="AF21" s="78"/>
      <c r="AG21" s="79"/>
      <c r="AH21" s="79"/>
      <c r="AI21" s="80"/>
      <c r="AJ21" s="81"/>
      <c r="AK21" s="82"/>
      <c r="AL21" s="83"/>
      <c r="AM21" s="78"/>
      <c r="AN21" s="79"/>
      <c r="AO21" s="79"/>
      <c r="AP21" s="80"/>
      <c r="AQ21" s="81"/>
      <c r="AR21" s="82"/>
      <c r="AS21" s="83"/>
      <c r="AT21" s="78"/>
      <c r="AU21" s="79"/>
      <c r="AV21" s="79"/>
      <c r="AW21" s="80"/>
      <c r="AX21" s="81"/>
      <c r="AY21" s="82"/>
      <c r="AZ21" s="83"/>
      <c r="BA21" s="78"/>
      <c r="BB21" s="79"/>
      <c r="BC21" s="79"/>
      <c r="BD21" s="80"/>
      <c r="BE21" s="81"/>
      <c r="BF21" s="82"/>
      <c r="BG21" s="83"/>
      <c r="BH21" s="78"/>
      <c r="BI21" s="79"/>
      <c r="BJ21" s="79"/>
      <c r="BK21" s="80"/>
      <c r="BL21" s="81"/>
      <c r="BM21" s="82"/>
      <c r="BN21" s="83"/>
      <c r="BO21" s="78"/>
      <c r="BP21" s="79"/>
      <c r="BQ21" s="79"/>
      <c r="BR21" s="80"/>
      <c r="BS21" s="81"/>
      <c r="BT21" s="82"/>
      <c r="BU21" s="83"/>
      <c r="BV21" s="78"/>
      <c r="BW21" s="79"/>
      <c r="BX21" s="79"/>
      <c r="BY21" s="80"/>
      <c r="BZ21" s="81"/>
      <c r="CA21" s="82"/>
      <c r="CB21" s="83"/>
      <c r="CC21" s="78"/>
      <c r="CD21" s="79"/>
      <c r="CE21" s="79"/>
      <c r="CF21" s="80"/>
      <c r="CG21" s="81"/>
      <c r="CH21" s="82"/>
      <c r="CI21" s="83"/>
      <c r="CJ21" s="78"/>
      <c r="CK21" s="79"/>
      <c r="CL21" s="79"/>
      <c r="CM21" s="80"/>
      <c r="CN21" s="81"/>
      <c r="CO21" s="82"/>
      <c r="CP21" s="83"/>
      <c r="CQ21" s="78"/>
      <c r="CR21" s="79"/>
      <c r="CS21" s="79"/>
      <c r="CT21" s="80"/>
      <c r="CU21" s="81"/>
      <c r="CV21" s="82"/>
      <c r="CW21" s="83"/>
      <c r="CX21" s="78"/>
      <c r="CY21" s="79"/>
      <c r="CZ21" s="79"/>
      <c r="DA21" s="80"/>
      <c r="DB21" s="81"/>
      <c r="DC21" s="82"/>
      <c r="DD21" s="83"/>
      <c r="DE21" s="78"/>
      <c r="DF21" s="79"/>
      <c r="DG21" s="79"/>
      <c r="DH21" s="80"/>
      <c r="DI21" s="81"/>
      <c r="DJ21" s="82"/>
      <c r="DK21" s="83"/>
      <c r="DL21" s="78"/>
      <c r="DM21" s="79"/>
      <c r="DN21" s="79"/>
      <c r="DO21" s="80"/>
      <c r="DP21" s="81"/>
      <c r="DQ21" s="82"/>
      <c r="DR21" s="83"/>
      <c r="DS21" s="78"/>
      <c r="DT21" s="79"/>
      <c r="DU21" s="79"/>
      <c r="DV21" s="80"/>
      <c r="DW21" s="81"/>
      <c r="DX21" s="82"/>
      <c r="DY21" s="83"/>
      <c r="DZ21" s="78"/>
      <c r="EA21" s="79"/>
      <c r="EB21" s="79"/>
      <c r="EC21" s="80"/>
      <c r="ED21" s="81"/>
      <c r="EE21" s="82"/>
      <c r="EF21" s="83"/>
      <c r="EG21" s="78"/>
      <c r="EH21" s="79"/>
      <c r="EI21" s="79"/>
      <c r="EJ21" s="80"/>
      <c r="EK21" s="81"/>
      <c r="EL21" s="82"/>
      <c r="EM21" s="83"/>
      <c r="EN21" s="78"/>
      <c r="EO21" s="79"/>
      <c r="EP21" s="79"/>
      <c r="EQ21" s="80"/>
      <c r="ER21" s="81"/>
      <c r="ES21" s="82"/>
      <c r="ET21" s="83"/>
      <c r="EU21" s="78"/>
      <c r="EV21" s="79"/>
      <c r="EW21" s="79"/>
      <c r="EX21" s="80"/>
      <c r="EY21" s="81"/>
      <c r="EZ21" s="82"/>
      <c r="FA21" s="83"/>
      <c r="FB21" s="78"/>
      <c r="FC21" s="79"/>
      <c r="FD21" s="79"/>
      <c r="FE21" s="80"/>
      <c r="FF21" s="81"/>
      <c r="FG21" s="82"/>
      <c r="FH21" s="83"/>
      <c r="FI21" s="78"/>
      <c r="FJ21" s="79"/>
      <c r="FK21" s="79"/>
      <c r="FL21" s="80"/>
      <c r="FM21" s="81"/>
      <c r="FN21" s="82"/>
      <c r="FO21" s="83"/>
      <c r="FP21" s="78"/>
      <c r="FQ21" s="79"/>
      <c r="FR21" s="79"/>
      <c r="FS21" s="80"/>
      <c r="FT21" s="81"/>
      <c r="FU21" s="82"/>
      <c r="FV21" s="83"/>
      <c r="FW21" s="78"/>
      <c r="FX21" s="79"/>
      <c r="FY21" s="79"/>
      <c r="FZ21" s="80"/>
      <c r="GA21" s="81"/>
      <c r="GB21" s="82"/>
      <c r="GC21" s="83"/>
      <c r="GD21" s="78"/>
      <c r="GE21" s="79"/>
      <c r="GF21" s="79"/>
      <c r="GG21" s="80"/>
      <c r="GH21" s="81"/>
      <c r="GI21" s="82"/>
      <c r="GJ21" s="83"/>
      <c r="GK21" s="78"/>
      <c r="GL21" s="79"/>
      <c r="GM21" s="79"/>
      <c r="GN21" s="80"/>
      <c r="GO21" s="81"/>
      <c r="GP21" s="82"/>
      <c r="GQ21" s="83"/>
      <c r="GR21" s="78"/>
      <c r="GS21" s="79"/>
      <c r="GT21" s="79"/>
      <c r="GU21" s="80"/>
      <c r="GV21" s="81"/>
      <c r="GW21" s="82"/>
      <c r="GX21" s="83"/>
      <c r="GY21" s="78"/>
      <c r="GZ21" s="79"/>
      <c r="HA21" s="79"/>
      <c r="HB21" s="80"/>
      <c r="HC21" s="81"/>
      <c r="HD21" s="82"/>
      <c r="HE21" s="83"/>
      <c r="HF21" s="78"/>
      <c r="HG21" s="79"/>
      <c r="HH21" s="79"/>
      <c r="HI21" s="80"/>
      <c r="HJ21" s="81"/>
      <c r="HK21" s="82"/>
      <c r="HL21" s="83"/>
      <c r="HM21" s="78"/>
      <c r="HN21" s="79"/>
      <c r="HO21" s="79"/>
      <c r="HP21" s="80"/>
      <c r="HQ21" s="81"/>
      <c r="HR21" s="82"/>
      <c r="HS21" s="83"/>
      <c r="HT21" s="78"/>
      <c r="HU21" s="79"/>
      <c r="HV21" s="79"/>
      <c r="HW21" s="80"/>
      <c r="HX21" s="81"/>
      <c r="HY21" s="82"/>
      <c r="HZ21" s="83"/>
      <c r="IA21" s="78"/>
      <c r="IB21" s="79"/>
      <c r="IC21" s="79"/>
      <c r="ID21" s="80"/>
      <c r="IE21" s="81"/>
      <c r="IF21" s="82"/>
      <c r="IG21" s="83"/>
      <c r="IH21" s="78"/>
      <c r="II21" s="79"/>
      <c r="IJ21" s="79"/>
      <c r="IK21" s="80"/>
      <c r="IL21" s="81"/>
      <c r="IM21" s="82"/>
      <c r="IN21" s="83"/>
      <c r="IO21" s="78"/>
      <c r="IP21" s="79"/>
      <c r="IQ21" s="79"/>
      <c r="IR21" s="80"/>
      <c r="IS21" s="81"/>
      <c r="IT21" s="82"/>
      <c r="IU21" s="83"/>
      <c r="IV21" s="78"/>
      <c r="IW21" s="79"/>
      <c r="IX21" s="79"/>
      <c r="IY21" s="80"/>
      <c r="IZ21" s="81"/>
      <c r="JA21" s="82"/>
      <c r="JB21" s="83"/>
      <c r="JC21" s="78"/>
      <c r="JD21" s="79"/>
      <c r="JE21" s="79"/>
      <c r="JF21" s="80"/>
      <c r="JG21" s="81"/>
      <c r="JH21" s="82"/>
      <c r="JI21" s="83"/>
      <c r="JJ21" s="78"/>
      <c r="JK21" s="79"/>
      <c r="JL21" s="79"/>
      <c r="JM21" s="80"/>
      <c r="JN21" s="81"/>
      <c r="JO21" s="82"/>
      <c r="JP21" s="83"/>
      <c r="JQ21" s="78"/>
      <c r="JR21" s="79"/>
      <c r="JS21" s="79"/>
      <c r="JT21" s="80"/>
      <c r="JU21" s="81"/>
      <c r="JV21" s="82"/>
      <c r="JW21" s="83"/>
      <c r="JX21" s="78"/>
      <c r="JY21" s="79"/>
      <c r="JZ21" s="79"/>
      <c r="KA21" s="80"/>
      <c r="KB21" s="81"/>
      <c r="KC21" s="82"/>
      <c r="KD21" s="83"/>
      <c r="KE21" s="78"/>
      <c r="KF21" s="79"/>
      <c r="KG21" s="79"/>
      <c r="KH21" s="80"/>
      <c r="KI21" s="81"/>
      <c r="KJ21" s="82"/>
      <c r="KK21" s="83"/>
      <c r="KL21" s="78"/>
      <c r="KM21" s="79"/>
      <c r="KN21" s="79"/>
      <c r="KO21" s="80"/>
      <c r="KP21" s="81"/>
      <c r="KQ21" s="82"/>
      <c r="KR21" s="83"/>
      <c r="KS21" s="78"/>
      <c r="KT21" s="79"/>
      <c r="KU21" s="79"/>
      <c r="KV21" s="80"/>
      <c r="KW21" s="81"/>
      <c r="KX21" s="82"/>
      <c r="KY21" s="83"/>
      <c r="KZ21" s="78"/>
      <c r="LA21" s="79"/>
      <c r="LB21" s="79"/>
      <c r="LC21" s="80"/>
      <c r="LD21" s="81"/>
      <c r="LE21" s="82"/>
      <c r="LF21" s="83"/>
      <c r="LG21" s="78"/>
      <c r="LH21" s="79"/>
      <c r="LI21" s="79"/>
      <c r="LJ21" s="80"/>
      <c r="LK21" s="81"/>
      <c r="LL21" s="82"/>
      <c r="LM21" s="83"/>
      <c r="LN21" s="78"/>
      <c r="LO21" s="79"/>
      <c r="LP21" s="79"/>
      <c r="LQ21" s="80"/>
      <c r="LR21" s="81"/>
      <c r="LS21" s="82"/>
      <c r="LT21" s="83"/>
      <c r="LU21" s="78"/>
      <c r="LV21" s="79"/>
      <c r="LW21" s="79"/>
      <c r="LX21" s="80"/>
      <c r="LY21" s="81"/>
      <c r="LZ21" s="82"/>
      <c r="MA21" s="83"/>
      <c r="MB21" s="78"/>
      <c r="MC21" s="79"/>
      <c r="MD21" s="79"/>
      <c r="ME21" s="80"/>
      <c r="MF21" s="81"/>
      <c r="MG21" s="82"/>
      <c r="MH21" s="83"/>
      <c r="MI21" s="78"/>
      <c r="MJ21" s="79"/>
      <c r="MK21" s="79"/>
      <c r="ML21" s="80"/>
      <c r="MM21" s="81"/>
      <c r="MN21" s="82"/>
      <c r="MO21" s="83"/>
      <c r="MP21" s="78"/>
      <c r="MQ21" s="79"/>
      <c r="MR21" s="79"/>
      <c r="MS21" s="80"/>
      <c r="MT21" s="81"/>
      <c r="MU21" s="82"/>
      <c r="MV21" s="83"/>
      <c r="MW21" s="78"/>
      <c r="MX21" s="79"/>
      <c r="MY21" s="79"/>
      <c r="MZ21" s="80"/>
      <c r="NA21" s="81"/>
      <c r="NB21" s="82"/>
      <c r="NC21" s="83"/>
      <c r="ND21" s="78"/>
      <c r="NE21" s="79"/>
      <c r="NF21" s="79"/>
      <c r="NG21" s="80"/>
      <c r="NH21" s="81"/>
      <c r="NI21" s="82"/>
      <c r="NJ21" s="83"/>
      <c r="NK21" s="78"/>
      <c r="NL21" s="79"/>
      <c r="NM21" s="79"/>
      <c r="NN21" s="80"/>
      <c r="NO21" s="81"/>
      <c r="NP21" s="82"/>
      <c r="NQ21" s="83"/>
    </row>
    <row r="22" spans="1:381" ht="15" customHeight="1" x14ac:dyDescent="0.15">
      <c r="A22" s="65">
        <v>17</v>
      </c>
      <c r="B22" s="76"/>
      <c r="C22" s="77">
        <v>0.29166666666666602</v>
      </c>
      <c r="D22" s="78"/>
      <c r="E22" s="79"/>
      <c r="F22" s="79"/>
      <c r="G22" s="80"/>
      <c r="H22" s="81"/>
      <c r="I22" s="82"/>
      <c r="J22" s="83"/>
      <c r="K22" s="78"/>
      <c r="L22" s="79"/>
      <c r="M22" s="79"/>
      <c r="N22" s="80"/>
      <c r="O22" s="81"/>
      <c r="P22" s="82"/>
      <c r="Q22" s="83"/>
      <c r="R22" s="78"/>
      <c r="S22" s="79"/>
      <c r="T22" s="79"/>
      <c r="U22" s="80"/>
      <c r="V22" s="81"/>
      <c r="W22" s="82"/>
      <c r="X22" s="83"/>
      <c r="Y22" s="78"/>
      <c r="Z22" s="79"/>
      <c r="AA22" s="79"/>
      <c r="AB22" s="80"/>
      <c r="AC22" s="81"/>
      <c r="AD22" s="82"/>
      <c r="AE22" s="83"/>
      <c r="AF22" s="78"/>
      <c r="AG22" s="79"/>
      <c r="AH22" s="79"/>
      <c r="AI22" s="80"/>
      <c r="AJ22" s="81"/>
      <c r="AK22" s="82"/>
      <c r="AL22" s="83"/>
      <c r="AM22" s="78"/>
      <c r="AN22" s="79"/>
      <c r="AO22" s="79"/>
      <c r="AP22" s="80"/>
      <c r="AQ22" s="81"/>
      <c r="AR22" s="82"/>
      <c r="AS22" s="83"/>
      <c r="AT22" s="78"/>
      <c r="AU22" s="79"/>
      <c r="AV22" s="79"/>
      <c r="AW22" s="80"/>
      <c r="AX22" s="81"/>
      <c r="AY22" s="82"/>
      <c r="AZ22" s="83"/>
      <c r="BA22" s="78"/>
      <c r="BB22" s="79"/>
      <c r="BC22" s="79"/>
      <c r="BD22" s="80"/>
      <c r="BE22" s="81"/>
      <c r="BF22" s="82"/>
      <c r="BG22" s="83"/>
      <c r="BH22" s="78"/>
      <c r="BI22" s="79"/>
      <c r="BJ22" s="79"/>
      <c r="BK22" s="80"/>
      <c r="BL22" s="81"/>
      <c r="BM22" s="82"/>
      <c r="BN22" s="83"/>
      <c r="BO22" s="78"/>
      <c r="BP22" s="79"/>
      <c r="BQ22" s="79"/>
      <c r="BR22" s="80"/>
      <c r="BS22" s="81"/>
      <c r="BT22" s="82"/>
      <c r="BU22" s="83"/>
      <c r="BV22" s="78"/>
      <c r="BW22" s="79"/>
      <c r="BX22" s="79"/>
      <c r="BY22" s="80"/>
      <c r="BZ22" s="81"/>
      <c r="CA22" s="82"/>
      <c r="CB22" s="83"/>
      <c r="CC22" s="78"/>
      <c r="CD22" s="79"/>
      <c r="CE22" s="79"/>
      <c r="CF22" s="80"/>
      <c r="CG22" s="81"/>
      <c r="CH22" s="82"/>
      <c r="CI22" s="83"/>
      <c r="CJ22" s="78"/>
      <c r="CK22" s="79"/>
      <c r="CL22" s="79"/>
      <c r="CM22" s="80"/>
      <c r="CN22" s="81"/>
      <c r="CO22" s="82"/>
      <c r="CP22" s="83"/>
      <c r="CQ22" s="78"/>
      <c r="CR22" s="79"/>
      <c r="CS22" s="79"/>
      <c r="CT22" s="80"/>
      <c r="CU22" s="81"/>
      <c r="CV22" s="82"/>
      <c r="CW22" s="83"/>
      <c r="CX22" s="78"/>
      <c r="CY22" s="79"/>
      <c r="CZ22" s="79"/>
      <c r="DA22" s="80"/>
      <c r="DB22" s="81"/>
      <c r="DC22" s="82"/>
      <c r="DD22" s="83"/>
      <c r="DE22" s="78"/>
      <c r="DF22" s="79"/>
      <c r="DG22" s="79"/>
      <c r="DH22" s="80"/>
      <c r="DI22" s="81"/>
      <c r="DJ22" s="82"/>
      <c r="DK22" s="83"/>
      <c r="DL22" s="78"/>
      <c r="DM22" s="79"/>
      <c r="DN22" s="79"/>
      <c r="DO22" s="80"/>
      <c r="DP22" s="81"/>
      <c r="DQ22" s="82"/>
      <c r="DR22" s="83"/>
      <c r="DS22" s="78"/>
      <c r="DT22" s="79"/>
      <c r="DU22" s="79"/>
      <c r="DV22" s="80"/>
      <c r="DW22" s="81"/>
      <c r="DX22" s="82"/>
      <c r="DY22" s="83"/>
      <c r="DZ22" s="78"/>
      <c r="EA22" s="79"/>
      <c r="EB22" s="79"/>
      <c r="EC22" s="80"/>
      <c r="ED22" s="81"/>
      <c r="EE22" s="82"/>
      <c r="EF22" s="83"/>
      <c r="EG22" s="78"/>
      <c r="EH22" s="79"/>
      <c r="EI22" s="79"/>
      <c r="EJ22" s="80"/>
      <c r="EK22" s="81"/>
      <c r="EL22" s="82"/>
      <c r="EM22" s="83"/>
      <c r="EN22" s="78"/>
      <c r="EO22" s="79"/>
      <c r="EP22" s="79"/>
      <c r="EQ22" s="80"/>
      <c r="ER22" s="81"/>
      <c r="ES22" s="82"/>
      <c r="ET22" s="83"/>
      <c r="EU22" s="78"/>
      <c r="EV22" s="79"/>
      <c r="EW22" s="79"/>
      <c r="EX22" s="80"/>
      <c r="EY22" s="81"/>
      <c r="EZ22" s="82"/>
      <c r="FA22" s="83"/>
      <c r="FB22" s="78"/>
      <c r="FC22" s="79"/>
      <c r="FD22" s="79"/>
      <c r="FE22" s="80"/>
      <c r="FF22" s="81"/>
      <c r="FG22" s="82"/>
      <c r="FH22" s="83"/>
      <c r="FI22" s="78"/>
      <c r="FJ22" s="79"/>
      <c r="FK22" s="79"/>
      <c r="FL22" s="80"/>
      <c r="FM22" s="81"/>
      <c r="FN22" s="82"/>
      <c r="FO22" s="83"/>
      <c r="FP22" s="78"/>
      <c r="FQ22" s="79"/>
      <c r="FR22" s="79"/>
      <c r="FS22" s="80"/>
      <c r="FT22" s="81"/>
      <c r="FU22" s="82"/>
      <c r="FV22" s="83"/>
      <c r="FW22" s="78"/>
      <c r="FX22" s="79"/>
      <c r="FY22" s="79"/>
      <c r="FZ22" s="80"/>
      <c r="GA22" s="81"/>
      <c r="GB22" s="82"/>
      <c r="GC22" s="83"/>
      <c r="GD22" s="78"/>
      <c r="GE22" s="79"/>
      <c r="GF22" s="79"/>
      <c r="GG22" s="80"/>
      <c r="GH22" s="81"/>
      <c r="GI22" s="82"/>
      <c r="GJ22" s="83"/>
      <c r="GK22" s="78"/>
      <c r="GL22" s="79"/>
      <c r="GM22" s="79"/>
      <c r="GN22" s="80"/>
      <c r="GO22" s="81"/>
      <c r="GP22" s="82"/>
      <c r="GQ22" s="83"/>
      <c r="GR22" s="78"/>
      <c r="GS22" s="79"/>
      <c r="GT22" s="79"/>
      <c r="GU22" s="80"/>
      <c r="GV22" s="81"/>
      <c r="GW22" s="82"/>
      <c r="GX22" s="83"/>
      <c r="GY22" s="78"/>
      <c r="GZ22" s="79"/>
      <c r="HA22" s="79"/>
      <c r="HB22" s="80"/>
      <c r="HC22" s="81"/>
      <c r="HD22" s="82"/>
      <c r="HE22" s="83"/>
      <c r="HF22" s="78"/>
      <c r="HG22" s="79"/>
      <c r="HH22" s="79"/>
      <c r="HI22" s="80"/>
      <c r="HJ22" s="81"/>
      <c r="HK22" s="82"/>
      <c r="HL22" s="83"/>
      <c r="HM22" s="78"/>
      <c r="HN22" s="79"/>
      <c r="HO22" s="79"/>
      <c r="HP22" s="80"/>
      <c r="HQ22" s="81"/>
      <c r="HR22" s="82"/>
      <c r="HS22" s="83"/>
      <c r="HT22" s="78"/>
      <c r="HU22" s="79"/>
      <c r="HV22" s="79"/>
      <c r="HW22" s="80"/>
      <c r="HX22" s="81"/>
      <c r="HY22" s="82"/>
      <c r="HZ22" s="83"/>
      <c r="IA22" s="78"/>
      <c r="IB22" s="79"/>
      <c r="IC22" s="79"/>
      <c r="ID22" s="80"/>
      <c r="IE22" s="81"/>
      <c r="IF22" s="82"/>
      <c r="IG22" s="83"/>
      <c r="IH22" s="78"/>
      <c r="II22" s="79"/>
      <c r="IJ22" s="79"/>
      <c r="IK22" s="80"/>
      <c r="IL22" s="81"/>
      <c r="IM22" s="82"/>
      <c r="IN22" s="83"/>
      <c r="IO22" s="78"/>
      <c r="IP22" s="79"/>
      <c r="IQ22" s="79"/>
      <c r="IR22" s="80"/>
      <c r="IS22" s="81"/>
      <c r="IT22" s="82"/>
      <c r="IU22" s="83"/>
      <c r="IV22" s="78"/>
      <c r="IW22" s="79"/>
      <c r="IX22" s="79"/>
      <c r="IY22" s="80"/>
      <c r="IZ22" s="81"/>
      <c r="JA22" s="82"/>
      <c r="JB22" s="83"/>
      <c r="JC22" s="78"/>
      <c r="JD22" s="79"/>
      <c r="JE22" s="79"/>
      <c r="JF22" s="80"/>
      <c r="JG22" s="81"/>
      <c r="JH22" s="82"/>
      <c r="JI22" s="83"/>
      <c r="JJ22" s="78"/>
      <c r="JK22" s="79"/>
      <c r="JL22" s="79"/>
      <c r="JM22" s="80"/>
      <c r="JN22" s="81"/>
      <c r="JO22" s="82"/>
      <c r="JP22" s="83"/>
      <c r="JQ22" s="78"/>
      <c r="JR22" s="79"/>
      <c r="JS22" s="79"/>
      <c r="JT22" s="80"/>
      <c r="JU22" s="81"/>
      <c r="JV22" s="82"/>
      <c r="JW22" s="83"/>
      <c r="JX22" s="78"/>
      <c r="JY22" s="79"/>
      <c r="JZ22" s="79"/>
      <c r="KA22" s="80"/>
      <c r="KB22" s="81"/>
      <c r="KC22" s="82"/>
      <c r="KD22" s="83"/>
      <c r="KE22" s="78"/>
      <c r="KF22" s="79"/>
      <c r="KG22" s="79"/>
      <c r="KH22" s="80"/>
      <c r="KI22" s="81"/>
      <c r="KJ22" s="82"/>
      <c r="KK22" s="83"/>
      <c r="KL22" s="78"/>
      <c r="KM22" s="79"/>
      <c r="KN22" s="79"/>
      <c r="KO22" s="80"/>
      <c r="KP22" s="81"/>
      <c r="KQ22" s="82"/>
      <c r="KR22" s="83"/>
      <c r="KS22" s="78"/>
      <c r="KT22" s="79"/>
      <c r="KU22" s="79"/>
      <c r="KV22" s="80"/>
      <c r="KW22" s="81"/>
      <c r="KX22" s="82"/>
      <c r="KY22" s="83"/>
      <c r="KZ22" s="78"/>
      <c r="LA22" s="79"/>
      <c r="LB22" s="79"/>
      <c r="LC22" s="80"/>
      <c r="LD22" s="81"/>
      <c r="LE22" s="82"/>
      <c r="LF22" s="83"/>
      <c r="LG22" s="78"/>
      <c r="LH22" s="79"/>
      <c r="LI22" s="79"/>
      <c r="LJ22" s="80"/>
      <c r="LK22" s="81"/>
      <c r="LL22" s="82"/>
      <c r="LM22" s="83"/>
      <c r="LN22" s="78"/>
      <c r="LO22" s="79"/>
      <c r="LP22" s="79"/>
      <c r="LQ22" s="80"/>
      <c r="LR22" s="81"/>
      <c r="LS22" s="82"/>
      <c r="LT22" s="83"/>
      <c r="LU22" s="78"/>
      <c r="LV22" s="79"/>
      <c r="LW22" s="79"/>
      <c r="LX22" s="80"/>
      <c r="LY22" s="81"/>
      <c r="LZ22" s="82"/>
      <c r="MA22" s="83"/>
      <c r="MB22" s="78"/>
      <c r="MC22" s="79"/>
      <c r="MD22" s="79"/>
      <c r="ME22" s="80"/>
      <c r="MF22" s="81"/>
      <c r="MG22" s="82"/>
      <c r="MH22" s="83"/>
      <c r="MI22" s="78"/>
      <c r="MJ22" s="79"/>
      <c r="MK22" s="79"/>
      <c r="ML22" s="80"/>
      <c r="MM22" s="81"/>
      <c r="MN22" s="82"/>
      <c r="MO22" s="83"/>
      <c r="MP22" s="78"/>
      <c r="MQ22" s="79"/>
      <c r="MR22" s="79"/>
      <c r="MS22" s="80"/>
      <c r="MT22" s="81"/>
      <c r="MU22" s="82"/>
      <c r="MV22" s="83"/>
      <c r="MW22" s="78"/>
      <c r="MX22" s="79"/>
      <c r="MY22" s="79"/>
      <c r="MZ22" s="80"/>
      <c r="NA22" s="81"/>
      <c r="NB22" s="82"/>
      <c r="NC22" s="83"/>
      <c r="ND22" s="78"/>
      <c r="NE22" s="79"/>
      <c r="NF22" s="79"/>
      <c r="NG22" s="80"/>
      <c r="NH22" s="81"/>
      <c r="NI22" s="82"/>
      <c r="NJ22" s="83"/>
      <c r="NK22" s="78"/>
      <c r="NL22" s="79"/>
      <c r="NM22" s="79"/>
      <c r="NN22" s="80"/>
      <c r="NO22" s="81"/>
      <c r="NP22" s="82"/>
      <c r="NQ22" s="83"/>
    </row>
    <row r="23" spans="1:381" ht="15" customHeight="1" x14ac:dyDescent="0.15">
      <c r="A23" s="65">
        <v>18</v>
      </c>
      <c r="B23" s="76"/>
      <c r="C23" s="77"/>
      <c r="D23" s="78"/>
      <c r="E23" s="79"/>
      <c r="F23" s="79"/>
      <c r="G23" s="80"/>
      <c r="H23" s="81"/>
      <c r="I23" s="82"/>
      <c r="J23" s="83"/>
      <c r="K23" s="78"/>
      <c r="L23" s="79"/>
      <c r="M23" s="79"/>
      <c r="N23" s="80"/>
      <c r="O23" s="81"/>
      <c r="P23" s="82"/>
      <c r="Q23" s="83"/>
      <c r="R23" s="78"/>
      <c r="S23" s="79"/>
      <c r="T23" s="79"/>
      <c r="U23" s="80"/>
      <c r="V23" s="81"/>
      <c r="W23" s="82"/>
      <c r="X23" s="83"/>
      <c r="Y23" s="78"/>
      <c r="Z23" s="79"/>
      <c r="AA23" s="79"/>
      <c r="AB23" s="80"/>
      <c r="AC23" s="81"/>
      <c r="AD23" s="82"/>
      <c r="AE23" s="83"/>
      <c r="AF23" s="78"/>
      <c r="AG23" s="79"/>
      <c r="AH23" s="79"/>
      <c r="AI23" s="80"/>
      <c r="AJ23" s="81"/>
      <c r="AK23" s="82"/>
      <c r="AL23" s="83"/>
      <c r="AM23" s="78"/>
      <c r="AN23" s="79"/>
      <c r="AO23" s="79"/>
      <c r="AP23" s="80"/>
      <c r="AQ23" s="81"/>
      <c r="AR23" s="82"/>
      <c r="AS23" s="83"/>
      <c r="AT23" s="78"/>
      <c r="AU23" s="79"/>
      <c r="AV23" s="79"/>
      <c r="AW23" s="80"/>
      <c r="AX23" s="81"/>
      <c r="AY23" s="82"/>
      <c r="AZ23" s="83"/>
      <c r="BA23" s="78"/>
      <c r="BB23" s="79"/>
      <c r="BC23" s="79"/>
      <c r="BD23" s="80"/>
      <c r="BE23" s="81"/>
      <c r="BF23" s="82"/>
      <c r="BG23" s="83"/>
      <c r="BH23" s="78"/>
      <c r="BI23" s="79"/>
      <c r="BJ23" s="79"/>
      <c r="BK23" s="80"/>
      <c r="BL23" s="81"/>
      <c r="BM23" s="82"/>
      <c r="BN23" s="83"/>
      <c r="BO23" s="78"/>
      <c r="BP23" s="79"/>
      <c r="BQ23" s="79"/>
      <c r="BR23" s="80"/>
      <c r="BS23" s="81"/>
      <c r="BT23" s="82"/>
      <c r="BU23" s="83"/>
      <c r="BV23" s="78"/>
      <c r="BW23" s="79"/>
      <c r="BX23" s="79"/>
      <c r="BY23" s="80"/>
      <c r="BZ23" s="81"/>
      <c r="CA23" s="82"/>
      <c r="CB23" s="83"/>
      <c r="CC23" s="78"/>
      <c r="CD23" s="79"/>
      <c r="CE23" s="79"/>
      <c r="CF23" s="80"/>
      <c r="CG23" s="81"/>
      <c r="CH23" s="82"/>
      <c r="CI23" s="83"/>
      <c r="CJ23" s="78"/>
      <c r="CK23" s="79"/>
      <c r="CL23" s="79"/>
      <c r="CM23" s="80"/>
      <c r="CN23" s="81"/>
      <c r="CO23" s="82"/>
      <c r="CP23" s="83"/>
      <c r="CQ23" s="78"/>
      <c r="CR23" s="79"/>
      <c r="CS23" s="79"/>
      <c r="CT23" s="80"/>
      <c r="CU23" s="81"/>
      <c r="CV23" s="82"/>
      <c r="CW23" s="83"/>
      <c r="CX23" s="78"/>
      <c r="CY23" s="79"/>
      <c r="CZ23" s="79"/>
      <c r="DA23" s="80"/>
      <c r="DB23" s="81"/>
      <c r="DC23" s="82"/>
      <c r="DD23" s="83"/>
      <c r="DE23" s="78"/>
      <c r="DF23" s="79"/>
      <c r="DG23" s="79"/>
      <c r="DH23" s="80"/>
      <c r="DI23" s="81"/>
      <c r="DJ23" s="82"/>
      <c r="DK23" s="83"/>
      <c r="DL23" s="78"/>
      <c r="DM23" s="79"/>
      <c r="DN23" s="79"/>
      <c r="DO23" s="80"/>
      <c r="DP23" s="81"/>
      <c r="DQ23" s="82"/>
      <c r="DR23" s="83"/>
      <c r="DS23" s="78"/>
      <c r="DT23" s="79"/>
      <c r="DU23" s="79"/>
      <c r="DV23" s="80"/>
      <c r="DW23" s="81"/>
      <c r="DX23" s="82"/>
      <c r="DY23" s="83"/>
      <c r="DZ23" s="78"/>
      <c r="EA23" s="79"/>
      <c r="EB23" s="79"/>
      <c r="EC23" s="80"/>
      <c r="ED23" s="81"/>
      <c r="EE23" s="82"/>
      <c r="EF23" s="83"/>
      <c r="EG23" s="78"/>
      <c r="EH23" s="79"/>
      <c r="EI23" s="79"/>
      <c r="EJ23" s="80"/>
      <c r="EK23" s="81"/>
      <c r="EL23" s="82"/>
      <c r="EM23" s="83"/>
      <c r="EN23" s="78"/>
      <c r="EO23" s="79"/>
      <c r="EP23" s="79"/>
      <c r="EQ23" s="80"/>
      <c r="ER23" s="81"/>
      <c r="ES23" s="82"/>
      <c r="ET23" s="83"/>
      <c r="EU23" s="78"/>
      <c r="EV23" s="79"/>
      <c r="EW23" s="79"/>
      <c r="EX23" s="80"/>
      <c r="EY23" s="81"/>
      <c r="EZ23" s="82"/>
      <c r="FA23" s="83"/>
      <c r="FB23" s="78"/>
      <c r="FC23" s="79"/>
      <c r="FD23" s="79"/>
      <c r="FE23" s="80"/>
      <c r="FF23" s="81"/>
      <c r="FG23" s="82"/>
      <c r="FH23" s="83"/>
      <c r="FI23" s="78"/>
      <c r="FJ23" s="79"/>
      <c r="FK23" s="79"/>
      <c r="FL23" s="80"/>
      <c r="FM23" s="81"/>
      <c r="FN23" s="82"/>
      <c r="FO23" s="83"/>
      <c r="FP23" s="78"/>
      <c r="FQ23" s="79"/>
      <c r="FR23" s="79"/>
      <c r="FS23" s="80"/>
      <c r="FT23" s="81"/>
      <c r="FU23" s="82"/>
      <c r="FV23" s="83"/>
      <c r="FW23" s="78"/>
      <c r="FX23" s="79"/>
      <c r="FY23" s="79"/>
      <c r="FZ23" s="80"/>
      <c r="GA23" s="81"/>
      <c r="GB23" s="82"/>
      <c r="GC23" s="83"/>
      <c r="GD23" s="78"/>
      <c r="GE23" s="79"/>
      <c r="GF23" s="79"/>
      <c r="GG23" s="80"/>
      <c r="GH23" s="81"/>
      <c r="GI23" s="82"/>
      <c r="GJ23" s="83"/>
      <c r="GK23" s="78"/>
      <c r="GL23" s="79"/>
      <c r="GM23" s="79"/>
      <c r="GN23" s="80"/>
      <c r="GO23" s="81"/>
      <c r="GP23" s="82"/>
      <c r="GQ23" s="83"/>
      <c r="GR23" s="78"/>
      <c r="GS23" s="79"/>
      <c r="GT23" s="79"/>
      <c r="GU23" s="80"/>
      <c r="GV23" s="81"/>
      <c r="GW23" s="82"/>
      <c r="GX23" s="83"/>
      <c r="GY23" s="78"/>
      <c r="GZ23" s="79"/>
      <c r="HA23" s="79"/>
      <c r="HB23" s="80"/>
      <c r="HC23" s="81"/>
      <c r="HD23" s="82"/>
      <c r="HE23" s="83"/>
      <c r="HF23" s="78"/>
      <c r="HG23" s="79"/>
      <c r="HH23" s="79"/>
      <c r="HI23" s="80"/>
      <c r="HJ23" s="81"/>
      <c r="HK23" s="82"/>
      <c r="HL23" s="83"/>
      <c r="HM23" s="78"/>
      <c r="HN23" s="79"/>
      <c r="HO23" s="79"/>
      <c r="HP23" s="80"/>
      <c r="HQ23" s="81"/>
      <c r="HR23" s="82"/>
      <c r="HS23" s="83"/>
      <c r="HT23" s="78"/>
      <c r="HU23" s="79"/>
      <c r="HV23" s="79"/>
      <c r="HW23" s="80"/>
      <c r="HX23" s="81"/>
      <c r="HY23" s="82"/>
      <c r="HZ23" s="83"/>
      <c r="IA23" s="78"/>
      <c r="IB23" s="79"/>
      <c r="IC23" s="79"/>
      <c r="ID23" s="80"/>
      <c r="IE23" s="81"/>
      <c r="IF23" s="82"/>
      <c r="IG23" s="83"/>
      <c r="IH23" s="78"/>
      <c r="II23" s="79"/>
      <c r="IJ23" s="79"/>
      <c r="IK23" s="80"/>
      <c r="IL23" s="81"/>
      <c r="IM23" s="82"/>
      <c r="IN23" s="83"/>
      <c r="IO23" s="78"/>
      <c r="IP23" s="79"/>
      <c r="IQ23" s="79"/>
      <c r="IR23" s="80"/>
      <c r="IS23" s="81"/>
      <c r="IT23" s="82"/>
      <c r="IU23" s="83"/>
      <c r="IV23" s="78"/>
      <c r="IW23" s="79"/>
      <c r="IX23" s="79"/>
      <c r="IY23" s="80"/>
      <c r="IZ23" s="81"/>
      <c r="JA23" s="82"/>
      <c r="JB23" s="83"/>
      <c r="JC23" s="78"/>
      <c r="JD23" s="79"/>
      <c r="JE23" s="79"/>
      <c r="JF23" s="80"/>
      <c r="JG23" s="81"/>
      <c r="JH23" s="82"/>
      <c r="JI23" s="83"/>
      <c r="JJ23" s="78"/>
      <c r="JK23" s="79"/>
      <c r="JL23" s="79"/>
      <c r="JM23" s="80"/>
      <c r="JN23" s="81"/>
      <c r="JO23" s="82"/>
      <c r="JP23" s="83"/>
      <c r="JQ23" s="78"/>
      <c r="JR23" s="79"/>
      <c r="JS23" s="79"/>
      <c r="JT23" s="80"/>
      <c r="JU23" s="81"/>
      <c r="JV23" s="82"/>
      <c r="JW23" s="83"/>
      <c r="JX23" s="78"/>
      <c r="JY23" s="79"/>
      <c r="JZ23" s="79"/>
      <c r="KA23" s="80"/>
      <c r="KB23" s="81"/>
      <c r="KC23" s="82"/>
      <c r="KD23" s="83"/>
      <c r="KE23" s="78"/>
      <c r="KF23" s="79"/>
      <c r="KG23" s="79"/>
      <c r="KH23" s="80"/>
      <c r="KI23" s="81"/>
      <c r="KJ23" s="82"/>
      <c r="KK23" s="83"/>
      <c r="KL23" s="78"/>
      <c r="KM23" s="79"/>
      <c r="KN23" s="79"/>
      <c r="KO23" s="80"/>
      <c r="KP23" s="81"/>
      <c r="KQ23" s="82"/>
      <c r="KR23" s="83"/>
      <c r="KS23" s="78"/>
      <c r="KT23" s="79"/>
      <c r="KU23" s="79"/>
      <c r="KV23" s="80"/>
      <c r="KW23" s="81"/>
      <c r="KX23" s="82"/>
      <c r="KY23" s="83"/>
      <c r="KZ23" s="78"/>
      <c r="LA23" s="79"/>
      <c r="LB23" s="79"/>
      <c r="LC23" s="80"/>
      <c r="LD23" s="81"/>
      <c r="LE23" s="82"/>
      <c r="LF23" s="83"/>
      <c r="LG23" s="78"/>
      <c r="LH23" s="79"/>
      <c r="LI23" s="79"/>
      <c r="LJ23" s="80"/>
      <c r="LK23" s="81"/>
      <c r="LL23" s="82"/>
      <c r="LM23" s="83"/>
      <c r="LN23" s="78"/>
      <c r="LO23" s="79"/>
      <c r="LP23" s="79"/>
      <c r="LQ23" s="80"/>
      <c r="LR23" s="81"/>
      <c r="LS23" s="82"/>
      <c r="LT23" s="83"/>
      <c r="LU23" s="78"/>
      <c r="LV23" s="79"/>
      <c r="LW23" s="79"/>
      <c r="LX23" s="80"/>
      <c r="LY23" s="81"/>
      <c r="LZ23" s="82"/>
      <c r="MA23" s="83"/>
      <c r="MB23" s="78"/>
      <c r="MC23" s="79"/>
      <c r="MD23" s="79"/>
      <c r="ME23" s="80"/>
      <c r="MF23" s="81"/>
      <c r="MG23" s="82"/>
      <c r="MH23" s="83"/>
      <c r="MI23" s="78"/>
      <c r="MJ23" s="79"/>
      <c r="MK23" s="79"/>
      <c r="ML23" s="80"/>
      <c r="MM23" s="81"/>
      <c r="MN23" s="82"/>
      <c r="MO23" s="83"/>
      <c r="MP23" s="78"/>
      <c r="MQ23" s="79"/>
      <c r="MR23" s="79"/>
      <c r="MS23" s="80"/>
      <c r="MT23" s="81"/>
      <c r="MU23" s="82"/>
      <c r="MV23" s="83"/>
      <c r="MW23" s="78"/>
      <c r="MX23" s="79"/>
      <c r="MY23" s="79"/>
      <c r="MZ23" s="80"/>
      <c r="NA23" s="81"/>
      <c r="NB23" s="82"/>
      <c r="NC23" s="83"/>
      <c r="ND23" s="78"/>
      <c r="NE23" s="79"/>
      <c r="NF23" s="79"/>
      <c r="NG23" s="80"/>
      <c r="NH23" s="81"/>
      <c r="NI23" s="82"/>
      <c r="NJ23" s="83"/>
      <c r="NK23" s="78"/>
      <c r="NL23" s="79"/>
      <c r="NM23" s="79"/>
      <c r="NN23" s="80"/>
      <c r="NO23" s="81"/>
      <c r="NP23" s="82"/>
      <c r="NQ23" s="83"/>
    </row>
    <row r="24" spans="1:381" ht="15" customHeight="1" x14ac:dyDescent="0.15">
      <c r="A24" s="65">
        <v>19</v>
      </c>
      <c r="B24" s="76"/>
      <c r="C24" s="77">
        <v>0.33333333333333298</v>
      </c>
      <c r="D24" s="78"/>
      <c r="E24" s="79"/>
      <c r="F24" s="79"/>
      <c r="G24" s="80"/>
      <c r="H24" s="81"/>
      <c r="I24" s="82"/>
      <c r="J24" s="83"/>
      <c r="K24" s="78"/>
      <c r="L24" s="79"/>
      <c r="M24" s="79"/>
      <c r="N24" s="80"/>
      <c r="O24" s="81"/>
      <c r="P24" s="82"/>
      <c r="Q24" s="83"/>
      <c r="R24" s="78"/>
      <c r="S24" s="79"/>
      <c r="T24" s="79"/>
      <c r="U24" s="80"/>
      <c r="V24" s="81"/>
      <c r="W24" s="82"/>
      <c r="X24" s="83"/>
      <c r="Y24" s="78"/>
      <c r="Z24" s="79"/>
      <c r="AA24" s="79"/>
      <c r="AB24" s="80"/>
      <c r="AC24" s="81"/>
      <c r="AD24" s="82"/>
      <c r="AE24" s="83"/>
      <c r="AF24" s="78"/>
      <c r="AG24" s="79"/>
      <c r="AH24" s="79"/>
      <c r="AI24" s="80"/>
      <c r="AJ24" s="81"/>
      <c r="AK24" s="82"/>
      <c r="AL24" s="83"/>
      <c r="AM24" s="78"/>
      <c r="AN24" s="79"/>
      <c r="AO24" s="79"/>
      <c r="AP24" s="80"/>
      <c r="AQ24" s="81"/>
      <c r="AR24" s="82"/>
      <c r="AS24" s="83"/>
      <c r="AT24" s="78"/>
      <c r="AU24" s="79"/>
      <c r="AV24" s="79"/>
      <c r="AW24" s="80"/>
      <c r="AX24" s="81"/>
      <c r="AY24" s="82"/>
      <c r="AZ24" s="83"/>
      <c r="BA24" s="78"/>
      <c r="BB24" s="79"/>
      <c r="BC24" s="79"/>
      <c r="BD24" s="80"/>
      <c r="BE24" s="81"/>
      <c r="BF24" s="82"/>
      <c r="BG24" s="83"/>
      <c r="BH24" s="78"/>
      <c r="BI24" s="79"/>
      <c r="BJ24" s="79"/>
      <c r="BK24" s="80"/>
      <c r="BL24" s="81"/>
      <c r="BM24" s="82"/>
      <c r="BN24" s="83"/>
      <c r="BO24" s="78"/>
      <c r="BP24" s="79"/>
      <c r="BQ24" s="79"/>
      <c r="BR24" s="80"/>
      <c r="BS24" s="81"/>
      <c r="BT24" s="82"/>
      <c r="BU24" s="83"/>
      <c r="BV24" s="78"/>
      <c r="BW24" s="79"/>
      <c r="BX24" s="79"/>
      <c r="BY24" s="80"/>
      <c r="BZ24" s="81"/>
      <c r="CA24" s="82"/>
      <c r="CB24" s="83"/>
      <c r="CC24" s="78"/>
      <c r="CD24" s="79"/>
      <c r="CE24" s="79"/>
      <c r="CF24" s="80"/>
      <c r="CG24" s="81"/>
      <c r="CH24" s="82"/>
      <c r="CI24" s="83"/>
      <c r="CJ24" s="78"/>
      <c r="CK24" s="79"/>
      <c r="CL24" s="79"/>
      <c r="CM24" s="80"/>
      <c r="CN24" s="81"/>
      <c r="CO24" s="82"/>
      <c r="CP24" s="83"/>
      <c r="CQ24" s="78"/>
      <c r="CR24" s="79"/>
      <c r="CS24" s="79"/>
      <c r="CT24" s="80"/>
      <c r="CU24" s="81"/>
      <c r="CV24" s="82"/>
      <c r="CW24" s="83"/>
      <c r="CX24" s="78"/>
      <c r="CY24" s="79"/>
      <c r="CZ24" s="79"/>
      <c r="DA24" s="80"/>
      <c r="DB24" s="81"/>
      <c r="DC24" s="82"/>
      <c r="DD24" s="83"/>
      <c r="DE24" s="78"/>
      <c r="DF24" s="79"/>
      <c r="DG24" s="79"/>
      <c r="DH24" s="80"/>
      <c r="DI24" s="81"/>
      <c r="DJ24" s="82"/>
      <c r="DK24" s="83"/>
      <c r="DL24" s="78"/>
      <c r="DM24" s="79"/>
      <c r="DN24" s="79"/>
      <c r="DO24" s="80"/>
      <c r="DP24" s="81"/>
      <c r="DQ24" s="82"/>
      <c r="DR24" s="83"/>
      <c r="DS24" s="78"/>
      <c r="DT24" s="79"/>
      <c r="DU24" s="79"/>
      <c r="DV24" s="80"/>
      <c r="DW24" s="81"/>
      <c r="DX24" s="82"/>
      <c r="DY24" s="83"/>
      <c r="DZ24" s="78"/>
      <c r="EA24" s="79"/>
      <c r="EB24" s="79"/>
      <c r="EC24" s="80"/>
      <c r="ED24" s="81"/>
      <c r="EE24" s="82"/>
      <c r="EF24" s="83"/>
      <c r="EG24" s="78"/>
      <c r="EH24" s="79"/>
      <c r="EI24" s="79"/>
      <c r="EJ24" s="80"/>
      <c r="EK24" s="81"/>
      <c r="EL24" s="82"/>
      <c r="EM24" s="83"/>
      <c r="EN24" s="78"/>
      <c r="EO24" s="79"/>
      <c r="EP24" s="79"/>
      <c r="EQ24" s="80"/>
      <c r="ER24" s="81"/>
      <c r="ES24" s="82"/>
      <c r="ET24" s="83"/>
      <c r="EU24" s="78"/>
      <c r="EV24" s="79"/>
      <c r="EW24" s="79"/>
      <c r="EX24" s="80"/>
      <c r="EY24" s="81"/>
      <c r="EZ24" s="82"/>
      <c r="FA24" s="83"/>
      <c r="FB24" s="78"/>
      <c r="FC24" s="79"/>
      <c r="FD24" s="79"/>
      <c r="FE24" s="80"/>
      <c r="FF24" s="81"/>
      <c r="FG24" s="82"/>
      <c r="FH24" s="83"/>
      <c r="FI24" s="78"/>
      <c r="FJ24" s="79"/>
      <c r="FK24" s="79"/>
      <c r="FL24" s="80"/>
      <c r="FM24" s="81"/>
      <c r="FN24" s="82"/>
      <c r="FO24" s="83"/>
      <c r="FP24" s="78"/>
      <c r="FQ24" s="79"/>
      <c r="FR24" s="79"/>
      <c r="FS24" s="80"/>
      <c r="FT24" s="81"/>
      <c r="FU24" s="82"/>
      <c r="FV24" s="83"/>
      <c r="FW24" s="78"/>
      <c r="FX24" s="79"/>
      <c r="FY24" s="79"/>
      <c r="FZ24" s="80"/>
      <c r="GA24" s="81"/>
      <c r="GB24" s="82"/>
      <c r="GC24" s="83"/>
      <c r="GD24" s="78"/>
      <c r="GE24" s="79"/>
      <c r="GF24" s="79"/>
      <c r="GG24" s="80"/>
      <c r="GH24" s="81"/>
      <c r="GI24" s="82"/>
      <c r="GJ24" s="83"/>
      <c r="GK24" s="78"/>
      <c r="GL24" s="79"/>
      <c r="GM24" s="79"/>
      <c r="GN24" s="80"/>
      <c r="GO24" s="81"/>
      <c r="GP24" s="82"/>
      <c r="GQ24" s="83"/>
      <c r="GR24" s="78"/>
      <c r="GS24" s="79"/>
      <c r="GT24" s="79"/>
      <c r="GU24" s="80"/>
      <c r="GV24" s="81"/>
      <c r="GW24" s="82"/>
      <c r="GX24" s="83"/>
      <c r="GY24" s="78"/>
      <c r="GZ24" s="79"/>
      <c r="HA24" s="79"/>
      <c r="HB24" s="80"/>
      <c r="HC24" s="81"/>
      <c r="HD24" s="82"/>
      <c r="HE24" s="83"/>
      <c r="HF24" s="78"/>
      <c r="HG24" s="79"/>
      <c r="HH24" s="79"/>
      <c r="HI24" s="80"/>
      <c r="HJ24" s="81"/>
      <c r="HK24" s="82"/>
      <c r="HL24" s="83"/>
      <c r="HM24" s="78"/>
      <c r="HN24" s="79"/>
      <c r="HO24" s="79"/>
      <c r="HP24" s="80"/>
      <c r="HQ24" s="81"/>
      <c r="HR24" s="82"/>
      <c r="HS24" s="83"/>
      <c r="HT24" s="78"/>
      <c r="HU24" s="79"/>
      <c r="HV24" s="79"/>
      <c r="HW24" s="80"/>
      <c r="HX24" s="81"/>
      <c r="HY24" s="82"/>
      <c r="HZ24" s="83"/>
      <c r="IA24" s="78"/>
      <c r="IB24" s="79"/>
      <c r="IC24" s="79"/>
      <c r="ID24" s="80"/>
      <c r="IE24" s="81"/>
      <c r="IF24" s="82"/>
      <c r="IG24" s="83"/>
      <c r="IH24" s="78"/>
      <c r="II24" s="79"/>
      <c r="IJ24" s="79"/>
      <c r="IK24" s="80"/>
      <c r="IL24" s="81"/>
      <c r="IM24" s="82"/>
      <c r="IN24" s="83"/>
      <c r="IO24" s="78"/>
      <c r="IP24" s="79"/>
      <c r="IQ24" s="79"/>
      <c r="IR24" s="80"/>
      <c r="IS24" s="81"/>
      <c r="IT24" s="82"/>
      <c r="IU24" s="83"/>
      <c r="IV24" s="78"/>
      <c r="IW24" s="79"/>
      <c r="IX24" s="79"/>
      <c r="IY24" s="80"/>
      <c r="IZ24" s="81"/>
      <c r="JA24" s="82"/>
      <c r="JB24" s="83"/>
      <c r="JC24" s="78"/>
      <c r="JD24" s="79"/>
      <c r="JE24" s="79"/>
      <c r="JF24" s="80"/>
      <c r="JG24" s="81"/>
      <c r="JH24" s="82"/>
      <c r="JI24" s="83"/>
      <c r="JJ24" s="78"/>
      <c r="JK24" s="79"/>
      <c r="JL24" s="79"/>
      <c r="JM24" s="80"/>
      <c r="JN24" s="81"/>
      <c r="JO24" s="82"/>
      <c r="JP24" s="83"/>
      <c r="JQ24" s="78"/>
      <c r="JR24" s="79"/>
      <c r="JS24" s="79"/>
      <c r="JT24" s="80"/>
      <c r="JU24" s="81"/>
      <c r="JV24" s="82"/>
      <c r="JW24" s="83"/>
      <c r="JX24" s="78"/>
      <c r="JY24" s="79"/>
      <c r="JZ24" s="79"/>
      <c r="KA24" s="80"/>
      <c r="KB24" s="81"/>
      <c r="KC24" s="82"/>
      <c r="KD24" s="83"/>
      <c r="KE24" s="78"/>
      <c r="KF24" s="79"/>
      <c r="KG24" s="79"/>
      <c r="KH24" s="80"/>
      <c r="KI24" s="81"/>
      <c r="KJ24" s="82"/>
      <c r="KK24" s="83"/>
      <c r="KL24" s="78"/>
      <c r="KM24" s="79"/>
      <c r="KN24" s="79"/>
      <c r="KO24" s="80"/>
      <c r="KP24" s="81"/>
      <c r="KQ24" s="82"/>
      <c r="KR24" s="83"/>
      <c r="KS24" s="78"/>
      <c r="KT24" s="79"/>
      <c r="KU24" s="79"/>
      <c r="KV24" s="80"/>
      <c r="KW24" s="81"/>
      <c r="KX24" s="82"/>
      <c r="KY24" s="83"/>
      <c r="KZ24" s="78"/>
      <c r="LA24" s="79"/>
      <c r="LB24" s="79"/>
      <c r="LC24" s="80"/>
      <c r="LD24" s="81"/>
      <c r="LE24" s="82"/>
      <c r="LF24" s="83"/>
      <c r="LG24" s="78"/>
      <c r="LH24" s="79"/>
      <c r="LI24" s="79"/>
      <c r="LJ24" s="80"/>
      <c r="LK24" s="81"/>
      <c r="LL24" s="82"/>
      <c r="LM24" s="83"/>
      <c r="LN24" s="78"/>
      <c r="LO24" s="79"/>
      <c r="LP24" s="79"/>
      <c r="LQ24" s="80"/>
      <c r="LR24" s="81"/>
      <c r="LS24" s="82"/>
      <c r="LT24" s="83"/>
      <c r="LU24" s="78"/>
      <c r="LV24" s="79"/>
      <c r="LW24" s="79"/>
      <c r="LX24" s="80"/>
      <c r="LY24" s="81"/>
      <c r="LZ24" s="82"/>
      <c r="MA24" s="83"/>
      <c r="MB24" s="78"/>
      <c r="MC24" s="79"/>
      <c r="MD24" s="79"/>
      <c r="ME24" s="80"/>
      <c r="MF24" s="81"/>
      <c r="MG24" s="82"/>
      <c r="MH24" s="83"/>
      <c r="MI24" s="78"/>
      <c r="MJ24" s="79"/>
      <c r="MK24" s="79"/>
      <c r="ML24" s="80"/>
      <c r="MM24" s="81"/>
      <c r="MN24" s="82"/>
      <c r="MO24" s="83"/>
      <c r="MP24" s="78"/>
      <c r="MQ24" s="79"/>
      <c r="MR24" s="79"/>
      <c r="MS24" s="80"/>
      <c r="MT24" s="81"/>
      <c r="MU24" s="82"/>
      <c r="MV24" s="83"/>
      <c r="MW24" s="78"/>
      <c r="MX24" s="79"/>
      <c r="MY24" s="79"/>
      <c r="MZ24" s="80"/>
      <c r="NA24" s="81"/>
      <c r="NB24" s="82"/>
      <c r="NC24" s="83"/>
      <c r="ND24" s="78"/>
      <c r="NE24" s="79"/>
      <c r="NF24" s="79"/>
      <c r="NG24" s="80"/>
      <c r="NH24" s="81"/>
      <c r="NI24" s="82"/>
      <c r="NJ24" s="83"/>
      <c r="NK24" s="78"/>
      <c r="NL24" s="79"/>
      <c r="NM24" s="79"/>
      <c r="NN24" s="80"/>
      <c r="NO24" s="81"/>
      <c r="NP24" s="82"/>
      <c r="NQ24" s="83"/>
    </row>
    <row r="25" spans="1:381" ht="15" customHeight="1" x14ac:dyDescent="0.15">
      <c r="A25" s="65">
        <v>20</v>
      </c>
      <c r="B25" s="76"/>
      <c r="C25" s="77"/>
      <c r="D25" s="78"/>
      <c r="E25" s="79"/>
      <c r="F25" s="79"/>
      <c r="G25" s="80"/>
      <c r="H25" s="81"/>
      <c r="I25" s="82"/>
      <c r="J25" s="83"/>
      <c r="K25" s="78"/>
      <c r="L25" s="79"/>
      <c r="M25" s="79"/>
      <c r="N25" s="80"/>
      <c r="O25" s="81"/>
      <c r="P25" s="82"/>
      <c r="Q25" s="83"/>
      <c r="R25" s="78"/>
      <c r="S25" s="79"/>
      <c r="T25" s="79"/>
      <c r="U25" s="80"/>
      <c r="V25" s="81"/>
      <c r="W25" s="82"/>
      <c r="X25" s="83"/>
      <c r="Y25" s="78"/>
      <c r="Z25" s="79"/>
      <c r="AA25" s="79"/>
      <c r="AB25" s="80"/>
      <c r="AC25" s="81"/>
      <c r="AD25" s="82"/>
      <c r="AE25" s="83"/>
      <c r="AF25" s="78"/>
      <c r="AG25" s="79"/>
      <c r="AH25" s="79"/>
      <c r="AI25" s="80"/>
      <c r="AJ25" s="81"/>
      <c r="AK25" s="82"/>
      <c r="AL25" s="83"/>
      <c r="AM25" s="78"/>
      <c r="AN25" s="79"/>
      <c r="AO25" s="79"/>
      <c r="AP25" s="80"/>
      <c r="AQ25" s="81"/>
      <c r="AR25" s="82"/>
      <c r="AS25" s="83"/>
      <c r="AT25" s="78"/>
      <c r="AU25" s="79"/>
      <c r="AV25" s="79"/>
      <c r="AW25" s="80"/>
      <c r="AX25" s="81"/>
      <c r="AY25" s="82"/>
      <c r="AZ25" s="83"/>
      <c r="BA25" s="78"/>
      <c r="BB25" s="79"/>
      <c r="BC25" s="79"/>
      <c r="BD25" s="80"/>
      <c r="BE25" s="81"/>
      <c r="BF25" s="82"/>
      <c r="BG25" s="83"/>
      <c r="BH25" s="78"/>
      <c r="BI25" s="79"/>
      <c r="BJ25" s="79"/>
      <c r="BK25" s="80"/>
      <c r="BL25" s="81"/>
      <c r="BM25" s="82"/>
      <c r="BN25" s="83"/>
      <c r="BO25" s="78"/>
      <c r="BP25" s="79"/>
      <c r="BQ25" s="79"/>
      <c r="BR25" s="80"/>
      <c r="BS25" s="81"/>
      <c r="BT25" s="82"/>
      <c r="BU25" s="83"/>
      <c r="BV25" s="78"/>
      <c r="BW25" s="79"/>
      <c r="BX25" s="79"/>
      <c r="BY25" s="80"/>
      <c r="BZ25" s="81"/>
      <c r="CA25" s="82"/>
      <c r="CB25" s="83"/>
      <c r="CC25" s="78"/>
      <c r="CD25" s="79"/>
      <c r="CE25" s="79"/>
      <c r="CF25" s="80"/>
      <c r="CG25" s="81"/>
      <c r="CH25" s="82"/>
      <c r="CI25" s="83"/>
      <c r="CJ25" s="78"/>
      <c r="CK25" s="79"/>
      <c r="CL25" s="79"/>
      <c r="CM25" s="80"/>
      <c r="CN25" s="81"/>
      <c r="CO25" s="82"/>
      <c r="CP25" s="83"/>
      <c r="CQ25" s="78"/>
      <c r="CR25" s="79"/>
      <c r="CS25" s="79"/>
      <c r="CT25" s="80"/>
      <c r="CU25" s="81"/>
      <c r="CV25" s="82"/>
      <c r="CW25" s="83"/>
      <c r="CX25" s="78"/>
      <c r="CY25" s="79"/>
      <c r="CZ25" s="79"/>
      <c r="DA25" s="80"/>
      <c r="DB25" s="81"/>
      <c r="DC25" s="82"/>
      <c r="DD25" s="83"/>
      <c r="DE25" s="78"/>
      <c r="DF25" s="79"/>
      <c r="DG25" s="79"/>
      <c r="DH25" s="80"/>
      <c r="DI25" s="81"/>
      <c r="DJ25" s="82"/>
      <c r="DK25" s="83"/>
      <c r="DL25" s="78"/>
      <c r="DM25" s="79"/>
      <c r="DN25" s="79"/>
      <c r="DO25" s="80"/>
      <c r="DP25" s="81"/>
      <c r="DQ25" s="82"/>
      <c r="DR25" s="83"/>
      <c r="DS25" s="78"/>
      <c r="DT25" s="79"/>
      <c r="DU25" s="79"/>
      <c r="DV25" s="80"/>
      <c r="DW25" s="81"/>
      <c r="DX25" s="82"/>
      <c r="DY25" s="83"/>
      <c r="DZ25" s="78"/>
      <c r="EA25" s="79"/>
      <c r="EB25" s="79"/>
      <c r="EC25" s="80"/>
      <c r="ED25" s="81"/>
      <c r="EE25" s="82"/>
      <c r="EF25" s="83"/>
      <c r="EG25" s="78"/>
      <c r="EH25" s="79"/>
      <c r="EI25" s="79"/>
      <c r="EJ25" s="80"/>
      <c r="EK25" s="81"/>
      <c r="EL25" s="82"/>
      <c r="EM25" s="83"/>
      <c r="EN25" s="78"/>
      <c r="EO25" s="79"/>
      <c r="EP25" s="79"/>
      <c r="EQ25" s="80"/>
      <c r="ER25" s="81"/>
      <c r="ES25" s="82"/>
      <c r="ET25" s="83"/>
      <c r="EU25" s="78"/>
      <c r="EV25" s="79"/>
      <c r="EW25" s="79"/>
      <c r="EX25" s="80"/>
      <c r="EY25" s="81"/>
      <c r="EZ25" s="82"/>
      <c r="FA25" s="83"/>
      <c r="FB25" s="78"/>
      <c r="FC25" s="79"/>
      <c r="FD25" s="79"/>
      <c r="FE25" s="80"/>
      <c r="FF25" s="81"/>
      <c r="FG25" s="82"/>
      <c r="FH25" s="83"/>
      <c r="FI25" s="78"/>
      <c r="FJ25" s="79"/>
      <c r="FK25" s="79"/>
      <c r="FL25" s="80"/>
      <c r="FM25" s="81"/>
      <c r="FN25" s="82"/>
      <c r="FO25" s="83"/>
      <c r="FP25" s="78"/>
      <c r="FQ25" s="79"/>
      <c r="FR25" s="79"/>
      <c r="FS25" s="80"/>
      <c r="FT25" s="81"/>
      <c r="FU25" s="82"/>
      <c r="FV25" s="83"/>
      <c r="FW25" s="78"/>
      <c r="FX25" s="79"/>
      <c r="FY25" s="79"/>
      <c r="FZ25" s="80"/>
      <c r="GA25" s="81"/>
      <c r="GB25" s="82"/>
      <c r="GC25" s="83"/>
      <c r="GD25" s="78"/>
      <c r="GE25" s="79"/>
      <c r="GF25" s="79"/>
      <c r="GG25" s="80"/>
      <c r="GH25" s="81"/>
      <c r="GI25" s="82"/>
      <c r="GJ25" s="83"/>
      <c r="GK25" s="78"/>
      <c r="GL25" s="79"/>
      <c r="GM25" s="79"/>
      <c r="GN25" s="80"/>
      <c r="GO25" s="81"/>
      <c r="GP25" s="82"/>
      <c r="GQ25" s="83"/>
      <c r="GR25" s="78"/>
      <c r="GS25" s="79"/>
      <c r="GT25" s="79"/>
      <c r="GU25" s="80"/>
      <c r="GV25" s="81"/>
      <c r="GW25" s="82"/>
      <c r="GX25" s="83"/>
      <c r="GY25" s="78"/>
      <c r="GZ25" s="79"/>
      <c r="HA25" s="79"/>
      <c r="HB25" s="80"/>
      <c r="HC25" s="81"/>
      <c r="HD25" s="82"/>
      <c r="HE25" s="83"/>
      <c r="HF25" s="78"/>
      <c r="HG25" s="79"/>
      <c r="HH25" s="79"/>
      <c r="HI25" s="80"/>
      <c r="HJ25" s="81"/>
      <c r="HK25" s="82"/>
      <c r="HL25" s="83"/>
      <c r="HM25" s="78"/>
      <c r="HN25" s="79"/>
      <c r="HO25" s="79"/>
      <c r="HP25" s="80"/>
      <c r="HQ25" s="81"/>
      <c r="HR25" s="82"/>
      <c r="HS25" s="83"/>
      <c r="HT25" s="78"/>
      <c r="HU25" s="79"/>
      <c r="HV25" s="79"/>
      <c r="HW25" s="80"/>
      <c r="HX25" s="81"/>
      <c r="HY25" s="82"/>
      <c r="HZ25" s="83"/>
      <c r="IA25" s="78"/>
      <c r="IB25" s="79"/>
      <c r="IC25" s="79"/>
      <c r="ID25" s="80"/>
      <c r="IE25" s="81"/>
      <c r="IF25" s="82"/>
      <c r="IG25" s="83"/>
      <c r="IH25" s="78"/>
      <c r="II25" s="79"/>
      <c r="IJ25" s="79"/>
      <c r="IK25" s="80"/>
      <c r="IL25" s="81"/>
      <c r="IM25" s="82"/>
      <c r="IN25" s="83"/>
      <c r="IO25" s="78"/>
      <c r="IP25" s="79"/>
      <c r="IQ25" s="79"/>
      <c r="IR25" s="80"/>
      <c r="IS25" s="81"/>
      <c r="IT25" s="82"/>
      <c r="IU25" s="83"/>
      <c r="IV25" s="78"/>
      <c r="IW25" s="79"/>
      <c r="IX25" s="79"/>
      <c r="IY25" s="80"/>
      <c r="IZ25" s="81"/>
      <c r="JA25" s="82"/>
      <c r="JB25" s="83"/>
      <c r="JC25" s="78"/>
      <c r="JD25" s="79"/>
      <c r="JE25" s="79"/>
      <c r="JF25" s="80"/>
      <c r="JG25" s="81"/>
      <c r="JH25" s="82"/>
      <c r="JI25" s="83"/>
      <c r="JJ25" s="78"/>
      <c r="JK25" s="79"/>
      <c r="JL25" s="79"/>
      <c r="JM25" s="80"/>
      <c r="JN25" s="81"/>
      <c r="JO25" s="82"/>
      <c r="JP25" s="83"/>
      <c r="JQ25" s="78"/>
      <c r="JR25" s="79"/>
      <c r="JS25" s="79"/>
      <c r="JT25" s="80"/>
      <c r="JU25" s="81"/>
      <c r="JV25" s="82"/>
      <c r="JW25" s="83"/>
      <c r="JX25" s="78"/>
      <c r="JY25" s="79"/>
      <c r="JZ25" s="79"/>
      <c r="KA25" s="80"/>
      <c r="KB25" s="81"/>
      <c r="KC25" s="82"/>
      <c r="KD25" s="83"/>
      <c r="KE25" s="78"/>
      <c r="KF25" s="79"/>
      <c r="KG25" s="79"/>
      <c r="KH25" s="80"/>
      <c r="KI25" s="81"/>
      <c r="KJ25" s="82"/>
      <c r="KK25" s="83"/>
      <c r="KL25" s="78"/>
      <c r="KM25" s="79"/>
      <c r="KN25" s="79"/>
      <c r="KO25" s="80"/>
      <c r="KP25" s="81"/>
      <c r="KQ25" s="82"/>
      <c r="KR25" s="83"/>
      <c r="KS25" s="78"/>
      <c r="KT25" s="79"/>
      <c r="KU25" s="79"/>
      <c r="KV25" s="80"/>
      <c r="KW25" s="81"/>
      <c r="KX25" s="82"/>
      <c r="KY25" s="83"/>
      <c r="KZ25" s="78"/>
      <c r="LA25" s="79"/>
      <c r="LB25" s="79"/>
      <c r="LC25" s="80"/>
      <c r="LD25" s="81"/>
      <c r="LE25" s="82"/>
      <c r="LF25" s="83"/>
      <c r="LG25" s="78"/>
      <c r="LH25" s="79"/>
      <c r="LI25" s="79"/>
      <c r="LJ25" s="80"/>
      <c r="LK25" s="81"/>
      <c r="LL25" s="82"/>
      <c r="LM25" s="83"/>
      <c r="LN25" s="78"/>
      <c r="LO25" s="79"/>
      <c r="LP25" s="79"/>
      <c r="LQ25" s="80"/>
      <c r="LR25" s="81"/>
      <c r="LS25" s="82"/>
      <c r="LT25" s="83"/>
      <c r="LU25" s="78"/>
      <c r="LV25" s="79"/>
      <c r="LW25" s="79"/>
      <c r="LX25" s="80"/>
      <c r="LY25" s="81"/>
      <c r="LZ25" s="82"/>
      <c r="MA25" s="83"/>
      <c r="MB25" s="78"/>
      <c r="MC25" s="79"/>
      <c r="MD25" s="79"/>
      <c r="ME25" s="80"/>
      <c r="MF25" s="81"/>
      <c r="MG25" s="82"/>
      <c r="MH25" s="83"/>
      <c r="MI25" s="78"/>
      <c r="MJ25" s="79"/>
      <c r="MK25" s="79"/>
      <c r="ML25" s="80"/>
      <c r="MM25" s="81"/>
      <c r="MN25" s="82"/>
      <c r="MO25" s="83"/>
      <c r="MP25" s="78"/>
      <c r="MQ25" s="79"/>
      <c r="MR25" s="79"/>
      <c r="MS25" s="80"/>
      <c r="MT25" s="81"/>
      <c r="MU25" s="82"/>
      <c r="MV25" s="83"/>
      <c r="MW25" s="78"/>
      <c r="MX25" s="79"/>
      <c r="MY25" s="79"/>
      <c r="MZ25" s="80"/>
      <c r="NA25" s="81"/>
      <c r="NB25" s="82"/>
      <c r="NC25" s="83"/>
      <c r="ND25" s="78"/>
      <c r="NE25" s="79"/>
      <c r="NF25" s="79"/>
      <c r="NG25" s="80"/>
      <c r="NH25" s="81"/>
      <c r="NI25" s="82"/>
      <c r="NJ25" s="83"/>
      <c r="NK25" s="78"/>
      <c r="NL25" s="79"/>
      <c r="NM25" s="79"/>
      <c r="NN25" s="80"/>
      <c r="NO25" s="81"/>
      <c r="NP25" s="82"/>
      <c r="NQ25" s="83"/>
    </row>
    <row r="26" spans="1:381" ht="15" customHeight="1" x14ac:dyDescent="0.15">
      <c r="A26" s="65">
        <v>21</v>
      </c>
      <c r="B26" s="76"/>
      <c r="C26" s="77">
        <v>0.375</v>
      </c>
      <c r="D26" s="78"/>
      <c r="E26" s="79"/>
      <c r="F26" s="79"/>
      <c r="G26" s="80"/>
      <c r="H26" s="81"/>
      <c r="I26" s="82"/>
      <c r="J26" s="83"/>
      <c r="K26" s="78"/>
      <c r="L26" s="79"/>
      <c r="M26" s="79"/>
      <c r="N26" s="80"/>
      <c r="O26" s="81"/>
      <c r="P26" s="82"/>
      <c r="Q26" s="83"/>
      <c r="R26" s="78"/>
      <c r="S26" s="79"/>
      <c r="T26" s="79"/>
      <c r="U26" s="80"/>
      <c r="V26" s="81"/>
      <c r="W26" s="82"/>
      <c r="X26" s="83"/>
      <c r="Y26" s="78"/>
      <c r="Z26" s="79"/>
      <c r="AA26" s="79"/>
      <c r="AB26" s="80"/>
      <c r="AC26" s="81"/>
      <c r="AD26" s="82"/>
      <c r="AE26" s="83"/>
      <c r="AF26" s="78"/>
      <c r="AG26" s="79"/>
      <c r="AH26" s="79"/>
      <c r="AI26" s="80"/>
      <c r="AJ26" s="81"/>
      <c r="AK26" s="82"/>
      <c r="AL26" s="83"/>
      <c r="AM26" s="78"/>
      <c r="AN26" s="79"/>
      <c r="AO26" s="79"/>
      <c r="AP26" s="80"/>
      <c r="AQ26" s="81"/>
      <c r="AR26" s="82"/>
      <c r="AS26" s="83"/>
      <c r="AT26" s="78"/>
      <c r="AU26" s="79"/>
      <c r="AV26" s="79"/>
      <c r="AW26" s="80"/>
      <c r="AX26" s="81"/>
      <c r="AY26" s="82"/>
      <c r="AZ26" s="83"/>
      <c r="BA26" s="78"/>
      <c r="BB26" s="79"/>
      <c r="BC26" s="79"/>
      <c r="BD26" s="80"/>
      <c r="BE26" s="81"/>
      <c r="BF26" s="82"/>
      <c r="BG26" s="83"/>
      <c r="BH26" s="78"/>
      <c r="BI26" s="79"/>
      <c r="BJ26" s="79"/>
      <c r="BK26" s="80"/>
      <c r="BL26" s="81"/>
      <c r="BM26" s="82"/>
      <c r="BN26" s="83"/>
      <c r="BO26" s="78"/>
      <c r="BP26" s="79"/>
      <c r="BQ26" s="79"/>
      <c r="BR26" s="80"/>
      <c r="BS26" s="81"/>
      <c r="BT26" s="82"/>
      <c r="BU26" s="83"/>
      <c r="BV26" s="78"/>
      <c r="BW26" s="79"/>
      <c r="BX26" s="79"/>
      <c r="BY26" s="80"/>
      <c r="BZ26" s="81"/>
      <c r="CA26" s="82"/>
      <c r="CB26" s="83"/>
      <c r="CC26" s="78"/>
      <c r="CD26" s="79"/>
      <c r="CE26" s="79"/>
      <c r="CF26" s="80"/>
      <c r="CG26" s="81"/>
      <c r="CH26" s="82"/>
      <c r="CI26" s="83"/>
      <c r="CJ26" s="78"/>
      <c r="CK26" s="79"/>
      <c r="CL26" s="79"/>
      <c r="CM26" s="80"/>
      <c r="CN26" s="81"/>
      <c r="CO26" s="82"/>
      <c r="CP26" s="83"/>
      <c r="CQ26" s="78"/>
      <c r="CR26" s="79"/>
      <c r="CS26" s="79"/>
      <c r="CT26" s="80"/>
      <c r="CU26" s="81"/>
      <c r="CV26" s="82"/>
      <c r="CW26" s="83"/>
      <c r="CX26" s="78"/>
      <c r="CY26" s="79"/>
      <c r="CZ26" s="79"/>
      <c r="DA26" s="80"/>
      <c r="DB26" s="81"/>
      <c r="DC26" s="82"/>
      <c r="DD26" s="83"/>
      <c r="DE26" s="78"/>
      <c r="DF26" s="79"/>
      <c r="DG26" s="79"/>
      <c r="DH26" s="80"/>
      <c r="DI26" s="81"/>
      <c r="DJ26" s="82"/>
      <c r="DK26" s="83"/>
      <c r="DL26" s="78"/>
      <c r="DM26" s="79"/>
      <c r="DN26" s="79"/>
      <c r="DO26" s="80"/>
      <c r="DP26" s="81"/>
      <c r="DQ26" s="82"/>
      <c r="DR26" s="83"/>
      <c r="DS26" s="78"/>
      <c r="DT26" s="79"/>
      <c r="DU26" s="79"/>
      <c r="DV26" s="80"/>
      <c r="DW26" s="81"/>
      <c r="DX26" s="82"/>
      <c r="DY26" s="83"/>
      <c r="DZ26" s="78"/>
      <c r="EA26" s="79"/>
      <c r="EB26" s="79"/>
      <c r="EC26" s="80"/>
      <c r="ED26" s="81"/>
      <c r="EE26" s="82"/>
      <c r="EF26" s="83"/>
      <c r="EG26" s="78"/>
      <c r="EH26" s="79"/>
      <c r="EI26" s="79"/>
      <c r="EJ26" s="80"/>
      <c r="EK26" s="81"/>
      <c r="EL26" s="82"/>
      <c r="EM26" s="83"/>
      <c r="EN26" s="78"/>
      <c r="EO26" s="79"/>
      <c r="EP26" s="79"/>
      <c r="EQ26" s="80"/>
      <c r="ER26" s="81"/>
      <c r="ES26" s="82"/>
      <c r="ET26" s="83"/>
      <c r="EU26" s="78"/>
      <c r="EV26" s="79"/>
      <c r="EW26" s="79"/>
      <c r="EX26" s="80"/>
      <c r="EY26" s="81"/>
      <c r="EZ26" s="82"/>
      <c r="FA26" s="83"/>
      <c r="FB26" s="78"/>
      <c r="FC26" s="79"/>
      <c r="FD26" s="79"/>
      <c r="FE26" s="80"/>
      <c r="FF26" s="81"/>
      <c r="FG26" s="82"/>
      <c r="FH26" s="83"/>
      <c r="FI26" s="78"/>
      <c r="FJ26" s="79"/>
      <c r="FK26" s="79"/>
      <c r="FL26" s="80"/>
      <c r="FM26" s="81"/>
      <c r="FN26" s="82"/>
      <c r="FO26" s="83"/>
      <c r="FP26" s="78"/>
      <c r="FQ26" s="79"/>
      <c r="FR26" s="79"/>
      <c r="FS26" s="80"/>
      <c r="FT26" s="81"/>
      <c r="FU26" s="82"/>
      <c r="FV26" s="83"/>
      <c r="FW26" s="78"/>
      <c r="FX26" s="79"/>
      <c r="FY26" s="79"/>
      <c r="FZ26" s="80"/>
      <c r="GA26" s="81"/>
      <c r="GB26" s="82"/>
      <c r="GC26" s="83"/>
      <c r="GD26" s="78"/>
      <c r="GE26" s="79"/>
      <c r="GF26" s="79"/>
      <c r="GG26" s="80"/>
      <c r="GH26" s="81"/>
      <c r="GI26" s="82"/>
      <c r="GJ26" s="83"/>
      <c r="GK26" s="78"/>
      <c r="GL26" s="79"/>
      <c r="GM26" s="79"/>
      <c r="GN26" s="80"/>
      <c r="GO26" s="81"/>
      <c r="GP26" s="82"/>
      <c r="GQ26" s="83"/>
      <c r="GR26" s="78"/>
      <c r="GS26" s="79"/>
      <c r="GT26" s="79"/>
      <c r="GU26" s="80"/>
      <c r="GV26" s="81"/>
      <c r="GW26" s="82"/>
      <c r="GX26" s="83"/>
      <c r="GY26" s="78"/>
      <c r="GZ26" s="79"/>
      <c r="HA26" s="79"/>
      <c r="HB26" s="80"/>
      <c r="HC26" s="81"/>
      <c r="HD26" s="82"/>
      <c r="HE26" s="83"/>
      <c r="HF26" s="78"/>
      <c r="HG26" s="79"/>
      <c r="HH26" s="79"/>
      <c r="HI26" s="80"/>
      <c r="HJ26" s="81"/>
      <c r="HK26" s="82"/>
      <c r="HL26" s="83"/>
      <c r="HM26" s="78"/>
      <c r="HN26" s="79"/>
      <c r="HO26" s="79"/>
      <c r="HP26" s="80"/>
      <c r="HQ26" s="81"/>
      <c r="HR26" s="82"/>
      <c r="HS26" s="83"/>
      <c r="HT26" s="78"/>
      <c r="HU26" s="79"/>
      <c r="HV26" s="79"/>
      <c r="HW26" s="80"/>
      <c r="HX26" s="81"/>
      <c r="HY26" s="82"/>
      <c r="HZ26" s="83"/>
      <c r="IA26" s="78"/>
      <c r="IB26" s="79"/>
      <c r="IC26" s="79"/>
      <c r="ID26" s="80"/>
      <c r="IE26" s="81"/>
      <c r="IF26" s="82"/>
      <c r="IG26" s="83"/>
      <c r="IH26" s="78"/>
      <c r="II26" s="79"/>
      <c r="IJ26" s="79"/>
      <c r="IK26" s="80"/>
      <c r="IL26" s="81"/>
      <c r="IM26" s="82"/>
      <c r="IN26" s="83"/>
      <c r="IO26" s="78"/>
      <c r="IP26" s="79"/>
      <c r="IQ26" s="79"/>
      <c r="IR26" s="80"/>
      <c r="IS26" s="81"/>
      <c r="IT26" s="82"/>
      <c r="IU26" s="83"/>
      <c r="IV26" s="78"/>
      <c r="IW26" s="79"/>
      <c r="IX26" s="79"/>
      <c r="IY26" s="80"/>
      <c r="IZ26" s="81"/>
      <c r="JA26" s="82"/>
      <c r="JB26" s="83"/>
      <c r="JC26" s="78"/>
      <c r="JD26" s="79"/>
      <c r="JE26" s="79"/>
      <c r="JF26" s="80"/>
      <c r="JG26" s="81"/>
      <c r="JH26" s="82"/>
      <c r="JI26" s="83"/>
      <c r="JJ26" s="78"/>
      <c r="JK26" s="79"/>
      <c r="JL26" s="79"/>
      <c r="JM26" s="80"/>
      <c r="JN26" s="81"/>
      <c r="JO26" s="82"/>
      <c r="JP26" s="83"/>
      <c r="JQ26" s="78"/>
      <c r="JR26" s="79"/>
      <c r="JS26" s="79"/>
      <c r="JT26" s="80"/>
      <c r="JU26" s="81"/>
      <c r="JV26" s="82"/>
      <c r="JW26" s="83"/>
      <c r="JX26" s="78"/>
      <c r="JY26" s="79"/>
      <c r="JZ26" s="79"/>
      <c r="KA26" s="80"/>
      <c r="KB26" s="81"/>
      <c r="KC26" s="82"/>
      <c r="KD26" s="83"/>
      <c r="KE26" s="78"/>
      <c r="KF26" s="79"/>
      <c r="KG26" s="79"/>
      <c r="KH26" s="80"/>
      <c r="KI26" s="81"/>
      <c r="KJ26" s="82"/>
      <c r="KK26" s="83"/>
      <c r="KL26" s="78"/>
      <c r="KM26" s="79"/>
      <c r="KN26" s="79"/>
      <c r="KO26" s="80"/>
      <c r="KP26" s="81"/>
      <c r="KQ26" s="82"/>
      <c r="KR26" s="83"/>
      <c r="KS26" s="78"/>
      <c r="KT26" s="79"/>
      <c r="KU26" s="79"/>
      <c r="KV26" s="80"/>
      <c r="KW26" s="81"/>
      <c r="KX26" s="82"/>
      <c r="KY26" s="83"/>
      <c r="KZ26" s="78"/>
      <c r="LA26" s="79"/>
      <c r="LB26" s="79"/>
      <c r="LC26" s="80"/>
      <c r="LD26" s="81"/>
      <c r="LE26" s="82"/>
      <c r="LF26" s="83"/>
      <c r="LG26" s="78"/>
      <c r="LH26" s="79"/>
      <c r="LI26" s="79"/>
      <c r="LJ26" s="80"/>
      <c r="LK26" s="81"/>
      <c r="LL26" s="82"/>
      <c r="LM26" s="83"/>
      <c r="LN26" s="78"/>
      <c r="LO26" s="79"/>
      <c r="LP26" s="79"/>
      <c r="LQ26" s="80"/>
      <c r="LR26" s="81"/>
      <c r="LS26" s="82"/>
      <c r="LT26" s="83"/>
      <c r="LU26" s="78"/>
      <c r="LV26" s="79"/>
      <c r="LW26" s="79"/>
      <c r="LX26" s="80"/>
      <c r="LY26" s="81"/>
      <c r="LZ26" s="82"/>
      <c r="MA26" s="83"/>
      <c r="MB26" s="78"/>
      <c r="MC26" s="79"/>
      <c r="MD26" s="79"/>
      <c r="ME26" s="80"/>
      <c r="MF26" s="81"/>
      <c r="MG26" s="82"/>
      <c r="MH26" s="83"/>
      <c r="MI26" s="78"/>
      <c r="MJ26" s="79"/>
      <c r="MK26" s="79"/>
      <c r="ML26" s="80"/>
      <c r="MM26" s="81"/>
      <c r="MN26" s="82"/>
      <c r="MO26" s="83"/>
      <c r="MP26" s="78"/>
      <c r="MQ26" s="79"/>
      <c r="MR26" s="79"/>
      <c r="MS26" s="80"/>
      <c r="MT26" s="81"/>
      <c r="MU26" s="82"/>
      <c r="MV26" s="83"/>
      <c r="MW26" s="78"/>
      <c r="MX26" s="79"/>
      <c r="MY26" s="79"/>
      <c r="MZ26" s="80"/>
      <c r="NA26" s="81"/>
      <c r="NB26" s="82"/>
      <c r="NC26" s="83"/>
      <c r="ND26" s="78"/>
      <c r="NE26" s="79"/>
      <c r="NF26" s="79"/>
      <c r="NG26" s="80"/>
      <c r="NH26" s="81"/>
      <c r="NI26" s="82"/>
      <c r="NJ26" s="83"/>
      <c r="NK26" s="78"/>
      <c r="NL26" s="79"/>
      <c r="NM26" s="79"/>
      <c r="NN26" s="80"/>
      <c r="NO26" s="81"/>
      <c r="NP26" s="82"/>
      <c r="NQ26" s="83"/>
    </row>
    <row r="27" spans="1:381" ht="15" customHeight="1" x14ac:dyDescent="0.15">
      <c r="A27" s="65">
        <v>22</v>
      </c>
      <c r="B27" s="76"/>
      <c r="C27" s="77"/>
      <c r="D27" s="78"/>
      <c r="E27" s="79"/>
      <c r="F27" s="79"/>
      <c r="G27" s="80"/>
      <c r="H27" s="81"/>
      <c r="I27" s="82"/>
      <c r="J27" s="83"/>
      <c r="K27" s="78"/>
      <c r="L27" s="79"/>
      <c r="M27" s="79"/>
      <c r="N27" s="80"/>
      <c r="O27" s="81"/>
      <c r="P27" s="82"/>
      <c r="Q27" s="83"/>
      <c r="R27" s="78"/>
      <c r="S27" s="79"/>
      <c r="T27" s="79"/>
      <c r="U27" s="80"/>
      <c r="V27" s="81"/>
      <c r="W27" s="82"/>
      <c r="X27" s="83"/>
      <c r="Y27" s="78"/>
      <c r="Z27" s="79"/>
      <c r="AA27" s="79"/>
      <c r="AB27" s="80"/>
      <c r="AC27" s="81"/>
      <c r="AD27" s="82"/>
      <c r="AE27" s="83"/>
      <c r="AF27" s="78"/>
      <c r="AG27" s="79"/>
      <c r="AH27" s="79"/>
      <c r="AI27" s="80"/>
      <c r="AJ27" s="81"/>
      <c r="AK27" s="82"/>
      <c r="AL27" s="83"/>
      <c r="AM27" s="78"/>
      <c r="AN27" s="79"/>
      <c r="AO27" s="79"/>
      <c r="AP27" s="80"/>
      <c r="AQ27" s="81"/>
      <c r="AR27" s="82"/>
      <c r="AS27" s="83"/>
      <c r="AT27" s="78"/>
      <c r="AU27" s="79"/>
      <c r="AV27" s="79"/>
      <c r="AW27" s="80"/>
      <c r="AX27" s="81"/>
      <c r="AY27" s="82"/>
      <c r="AZ27" s="83"/>
      <c r="BA27" s="78"/>
      <c r="BB27" s="79"/>
      <c r="BC27" s="79"/>
      <c r="BD27" s="80"/>
      <c r="BE27" s="81"/>
      <c r="BF27" s="82"/>
      <c r="BG27" s="83"/>
      <c r="BH27" s="78"/>
      <c r="BI27" s="79"/>
      <c r="BJ27" s="79"/>
      <c r="BK27" s="80"/>
      <c r="BL27" s="81"/>
      <c r="BM27" s="82"/>
      <c r="BN27" s="83"/>
      <c r="BO27" s="78"/>
      <c r="BP27" s="79"/>
      <c r="BQ27" s="79"/>
      <c r="BR27" s="80"/>
      <c r="BS27" s="81"/>
      <c r="BT27" s="82"/>
      <c r="BU27" s="83"/>
      <c r="BV27" s="78"/>
      <c r="BW27" s="79"/>
      <c r="BX27" s="79"/>
      <c r="BY27" s="80"/>
      <c r="BZ27" s="81"/>
      <c r="CA27" s="82"/>
      <c r="CB27" s="83"/>
      <c r="CC27" s="78"/>
      <c r="CD27" s="79"/>
      <c r="CE27" s="79"/>
      <c r="CF27" s="80"/>
      <c r="CG27" s="81"/>
      <c r="CH27" s="82"/>
      <c r="CI27" s="83"/>
      <c r="CJ27" s="78"/>
      <c r="CK27" s="79"/>
      <c r="CL27" s="79"/>
      <c r="CM27" s="80"/>
      <c r="CN27" s="81"/>
      <c r="CO27" s="82"/>
      <c r="CP27" s="83"/>
      <c r="CQ27" s="78"/>
      <c r="CR27" s="79"/>
      <c r="CS27" s="79"/>
      <c r="CT27" s="80"/>
      <c r="CU27" s="81"/>
      <c r="CV27" s="82"/>
      <c r="CW27" s="83"/>
      <c r="CX27" s="78"/>
      <c r="CY27" s="79"/>
      <c r="CZ27" s="79"/>
      <c r="DA27" s="80"/>
      <c r="DB27" s="81"/>
      <c r="DC27" s="82"/>
      <c r="DD27" s="83"/>
      <c r="DE27" s="78"/>
      <c r="DF27" s="79"/>
      <c r="DG27" s="79"/>
      <c r="DH27" s="80"/>
      <c r="DI27" s="81"/>
      <c r="DJ27" s="82"/>
      <c r="DK27" s="83"/>
      <c r="DL27" s="78"/>
      <c r="DM27" s="79"/>
      <c r="DN27" s="79"/>
      <c r="DO27" s="80"/>
      <c r="DP27" s="81"/>
      <c r="DQ27" s="82"/>
      <c r="DR27" s="83"/>
      <c r="DS27" s="78"/>
      <c r="DT27" s="79"/>
      <c r="DU27" s="79"/>
      <c r="DV27" s="80"/>
      <c r="DW27" s="81"/>
      <c r="DX27" s="82"/>
      <c r="DY27" s="83"/>
      <c r="DZ27" s="78"/>
      <c r="EA27" s="79"/>
      <c r="EB27" s="79"/>
      <c r="EC27" s="80"/>
      <c r="ED27" s="81"/>
      <c r="EE27" s="82"/>
      <c r="EF27" s="83"/>
      <c r="EG27" s="78"/>
      <c r="EH27" s="79"/>
      <c r="EI27" s="79"/>
      <c r="EJ27" s="80"/>
      <c r="EK27" s="81"/>
      <c r="EL27" s="82"/>
      <c r="EM27" s="83"/>
      <c r="EN27" s="78"/>
      <c r="EO27" s="79"/>
      <c r="EP27" s="79"/>
      <c r="EQ27" s="80"/>
      <c r="ER27" s="81"/>
      <c r="ES27" s="82"/>
      <c r="ET27" s="83"/>
      <c r="EU27" s="78"/>
      <c r="EV27" s="79"/>
      <c r="EW27" s="79"/>
      <c r="EX27" s="80"/>
      <c r="EY27" s="81"/>
      <c r="EZ27" s="82"/>
      <c r="FA27" s="83"/>
      <c r="FB27" s="78"/>
      <c r="FC27" s="79"/>
      <c r="FD27" s="79"/>
      <c r="FE27" s="80"/>
      <c r="FF27" s="81"/>
      <c r="FG27" s="82"/>
      <c r="FH27" s="83"/>
      <c r="FI27" s="78"/>
      <c r="FJ27" s="79"/>
      <c r="FK27" s="79"/>
      <c r="FL27" s="80"/>
      <c r="FM27" s="81"/>
      <c r="FN27" s="82"/>
      <c r="FO27" s="83"/>
      <c r="FP27" s="78"/>
      <c r="FQ27" s="79"/>
      <c r="FR27" s="79"/>
      <c r="FS27" s="80"/>
      <c r="FT27" s="81"/>
      <c r="FU27" s="82"/>
      <c r="FV27" s="83"/>
      <c r="FW27" s="78"/>
      <c r="FX27" s="79"/>
      <c r="FY27" s="79"/>
      <c r="FZ27" s="80"/>
      <c r="GA27" s="81"/>
      <c r="GB27" s="82"/>
      <c r="GC27" s="83"/>
      <c r="GD27" s="78"/>
      <c r="GE27" s="79"/>
      <c r="GF27" s="79"/>
      <c r="GG27" s="80"/>
      <c r="GH27" s="81"/>
      <c r="GI27" s="82"/>
      <c r="GJ27" s="83"/>
      <c r="GK27" s="78"/>
      <c r="GL27" s="79"/>
      <c r="GM27" s="79"/>
      <c r="GN27" s="80"/>
      <c r="GO27" s="81"/>
      <c r="GP27" s="82"/>
      <c r="GQ27" s="83"/>
      <c r="GR27" s="78"/>
      <c r="GS27" s="79"/>
      <c r="GT27" s="79"/>
      <c r="GU27" s="80"/>
      <c r="GV27" s="81"/>
      <c r="GW27" s="82"/>
      <c r="GX27" s="83"/>
      <c r="GY27" s="78"/>
      <c r="GZ27" s="79"/>
      <c r="HA27" s="79"/>
      <c r="HB27" s="80"/>
      <c r="HC27" s="81"/>
      <c r="HD27" s="82"/>
      <c r="HE27" s="83"/>
      <c r="HF27" s="78"/>
      <c r="HG27" s="79"/>
      <c r="HH27" s="79"/>
      <c r="HI27" s="80"/>
      <c r="HJ27" s="81"/>
      <c r="HK27" s="82"/>
      <c r="HL27" s="83"/>
      <c r="HM27" s="78"/>
      <c r="HN27" s="79"/>
      <c r="HO27" s="79"/>
      <c r="HP27" s="80"/>
      <c r="HQ27" s="81"/>
      <c r="HR27" s="82"/>
      <c r="HS27" s="83"/>
      <c r="HT27" s="78"/>
      <c r="HU27" s="79"/>
      <c r="HV27" s="79"/>
      <c r="HW27" s="80"/>
      <c r="HX27" s="81"/>
      <c r="HY27" s="82"/>
      <c r="HZ27" s="83"/>
      <c r="IA27" s="78"/>
      <c r="IB27" s="79"/>
      <c r="IC27" s="79"/>
      <c r="ID27" s="80"/>
      <c r="IE27" s="81"/>
      <c r="IF27" s="82"/>
      <c r="IG27" s="83"/>
      <c r="IH27" s="78"/>
      <c r="II27" s="79"/>
      <c r="IJ27" s="79"/>
      <c r="IK27" s="80"/>
      <c r="IL27" s="81"/>
      <c r="IM27" s="82"/>
      <c r="IN27" s="83"/>
      <c r="IO27" s="78"/>
      <c r="IP27" s="79"/>
      <c r="IQ27" s="79"/>
      <c r="IR27" s="80"/>
      <c r="IS27" s="81"/>
      <c r="IT27" s="82"/>
      <c r="IU27" s="83"/>
      <c r="IV27" s="78"/>
      <c r="IW27" s="79"/>
      <c r="IX27" s="79"/>
      <c r="IY27" s="80"/>
      <c r="IZ27" s="81"/>
      <c r="JA27" s="82"/>
      <c r="JB27" s="83"/>
      <c r="JC27" s="78"/>
      <c r="JD27" s="79"/>
      <c r="JE27" s="79"/>
      <c r="JF27" s="80"/>
      <c r="JG27" s="81"/>
      <c r="JH27" s="82"/>
      <c r="JI27" s="83"/>
      <c r="JJ27" s="78"/>
      <c r="JK27" s="79"/>
      <c r="JL27" s="79"/>
      <c r="JM27" s="80"/>
      <c r="JN27" s="81"/>
      <c r="JO27" s="82"/>
      <c r="JP27" s="83"/>
      <c r="JQ27" s="78"/>
      <c r="JR27" s="79"/>
      <c r="JS27" s="79"/>
      <c r="JT27" s="80"/>
      <c r="JU27" s="81"/>
      <c r="JV27" s="82"/>
      <c r="JW27" s="83"/>
      <c r="JX27" s="78"/>
      <c r="JY27" s="79"/>
      <c r="JZ27" s="79"/>
      <c r="KA27" s="80"/>
      <c r="KB27" s="81"/>
      <c r="KC27" s="82"/>
      <c r="KD27" s="83"/>
      <c r="KE27" s="78"/>
      <c r="KF27" s="79"/>
      <c r="KG27" s="79"/>
      <c r="KH27" s="80"/>
      <c r="KI27" s="81"/>
      <c r="KJ27" s="82"/>
      <c r="KK27" s="83"/>
      <c r="KL27" s="78"/>
      <c r="KM27" s="79"/>
      <c r="KN27" s="79"/>
      <c r="KO27" s="80"/>
      <c r="KP27" s="81"/>
      <c r="KQ27" s="82"/>
      <c r="KR27" s="83"/>
      <c r="KS27" s="78"/>
      <c r="KT27" s="79"/>
      <c r="KU27" s="79"/>
      <c r="KV27" s="80"/>
      <c r="KW27" s="81"/>
      <c r="KX27" s="82"/>
      <c r="KY27" s="83"/>
      <c r="KZ27" s="78"/>
      <c r="LA27" s="79"/>
      <c r="LB27" s="79"/>
      <c r="LC27" s="80"/>
      <c r="LD27" s="81"/>
      <c r="LE27" s="82"/>
      <c r="LF27" s="83"/>
      <c r="LG27" s="78"/>
      <c r="LH27" s="79"/>
      <c r="LI27" s="79"/>
      <c r="LJ27" s="80"/>
      <c r="LK27" s="81"/>
      <c r="LL27" s="82"/>
      <c r="LM27" s="83"/>
      <c r="LN27" s="78"/>
      <c r="LO27" s="79"/>
      <c r="LP27" s="79"/>
      <c r="LQ27" s="80"/>
      <c r="LR27" s="81"/>
      <c r="LS27" s="82"/>
      <c r="LT27" s="83"/>
      <c r="LU27" s="78"/>
      <c r="LV27" s="79"/>
      <c r="LW27" s="79"/>
      <c r="LX27" s="80"/>
      <c r="LY27" s="81"/>
      <c r="LZ27" s="82"/>
      <c r="MA27" s="83"/>
      <c r="MB27" s="78"/>
      <c r="MC27" s="79"/>
      <c r="MD27" s="79"/>
      <c r="ME27" s="80"/>
      <c r="MF27" s="81"/>
      <c r="MG27" s="82"/>
      <c r="MH27" s="83"/>
      <c r="MI27" s="78"/>
      <c r="MJ27" s="79"/>
      <c r="MK27" s="79"/>
      <c r="ML27" s="80"/>
      <c r="MM27" s="81"/>
      <c r="MN27" s="82"/>
      <c r="MO27" s="83"/>
      <c r="MP27" s="78"/>
      <c r="MQ27" s="79"/>
      <c r="MR27" s="79"/>
      <c r="MS27" s="80"/>
      <c r="MT27" s="81"/>
      <c r="MU27" s="82"/>
      <c r="MV27" s="83"/>
      <c r="MW27" s="78"/>
      <c r="MX27" s="79"/>
      <c r="MY27" s="79"/>
      <c r="MZ27" s="80"/>
      <c r="NA27" s="81"/>
      <c r="NB27" s="82"/>
      <c r="NC27" s="83"/>
      <c r="ND27" s="78"/>
      <c r="NE27" s="79"/>
      <c r="NF27" s="79"/>
      <c r="NG27" s="80"/>
      <c r="NH27" s="81"/>
      <c r="NI27" s="82"/>
      <c r="NJ27" s="83"/>
      <c r="NK27" s="78"/>
      <c r="NL27" s="79"/>
      <c r="NM27" s="79"/>
      <c r="NN27" s="80"/>
      <c r="NO27" s="81"/>
      <c r="NP27" s="82"/>
      <c r="NQ27" s="83"/>
    </row>
    <row r="28" spans="1:381" ht="15" customHeight="1" x14ac:dyDescent="0.15">
      <c r="A28" s="65">
        <v>23</v>
      </c>
      <c r="B28" s="76"/>
      <c r="C28" s="77">
        <v>0.41666666666666602</v>
      </c>
      <c r="D28" s="78"/>
      <c r="E28" s="79"/>
      <c r="F28" s="79"/>
      <c r="G28" s="80"/>
      <c r="H28" s="81"/>
      <c r="I28" s="82"/>
      <c r="J28" s="83"/>
      <c r="K28" s="78"/>
      <c r="L28" s="79"/>
      <c r="M28" s="79"/>
      <c r="N28" s="80"/>
      <c r="O28" s="81"/>
      <c r="P28" s="82"/>
      <c r="Q28" s="83"/>
      <c r="R28" s="78"/>
      <c r="S28" s="79"/>
      <c r="T28" s="79"/>
      <c r="U28" s="80"/>
      <c r="V28" s="81"/>
      <c r="W28" s="82"/>
      <c r="X28" s="83"/>
      <c r="Y28" s="78"/>
      <c r="Z28" s="79"/>
      <c r="AA28" s="79"/>
      <c r="AB28" s="80"/>
      <c r="AC28" s="81"/>
      <c r="AD28" s="82"/>
      <c r="AE28" s="83"/>
      <c r="AF28" s="78"/>
      <c r="AG28" s="79"/>
      <c r="AH28" s="79"/>
      <c r="AI28" s="80"/>
      <c r="AJ28" s="81"/>
      <c r="AK28" s="82"/>
      <c r="AL28" s="83"/>
      <c r="AM28" s="78"/>
      <c r="AN28" s="79"/>
      <c r="AO28" s="79"/>
      <c r="AP28" s="80"/>
      <c r="AQ28" s="81"/>
      <c r="AR28" s="82"/>
      <c r="AS28" s="83"/>
      <c r="AT28" s="78"/>
      <c r="AU28" s="79"/>
      <c r="AV28" s="79"/>
      <c r="AW28" s="80"/>
      <c r="AX28" s="81"/>
      <c r="AY28" s="82"/>
      <c r="AZ28" s="83"/>
      <c r="BA28" s="78"/>
      <c r="BB28" s="79"/>
      <c r="BC28" s="79"/>
      <c r="BD28" s="80"/>
      <c r="BE28" s="81"/>
      <c r="BF28" s="82"/>
      <c r="BG28" s="83"/>
      <c r="BH28" s="78"/>
      <c r="BI28" s="79"/>
      <c r="BJ28" s="79"/>
      <c r="BK28" s="80"/>
      <c r="BL28" s="81"/>
      <c r="BM28" s="82"/>
      <c r="BN28" s="83"/>
      <c r="BO28" s="78"/>
      <c r="BP28" s="79"/>
      <c r="BQ28" s="79"/>
      <c r="BR28" s="80"/>
      <c r="BS28" s="81"/>
      <c r="BT28" s="82"/>
      <c r="BU28" s="83"/>
      <c r="BV28" s="78"/>
      <c r="BW28" s="79"/>
      <c r="BX28" s="79"/>
      <c r="BY28" s="80"/>
      <c r="BZ28" s="81"/>
      <c r="CA28" s="82"/>
      <c r="CB28" s="83"/>
      <c r="CC28" s="78"/>
      <c r="CD28" s="79"/>
      <c r="CE28" s="79"/>
      <c r="CF28" s="80"/>
      <c r="CG28" s="81"/>
      <c r="CH28" s="82"/>
      <c r="CI28" s="83"/>
      <c r="CJ28" s="78"/>
      <c r="CK28" s="79"/>
      <c r="CL28" s="79"/>
      <c r="CM28" s="80"/>
      <c r="CN28" s="81"/>
      <c r="CO28" s="82"/>
      <c r="CP28" s="83"/>
      <c r="CQ28" s="78"/>
      <c r="CR28" s="79"/>
      <c r="CS28" s="79"/>
      <c r="CT28" s="80"/>
      <c r="CU28" s="81"/>
      <c r="CV28" s="82"/>
      <c r="CW28" s="83"/>
      <c r="CX28" s="78"/>
      <c r="CY28" s="79"/>
      <c r="CZ28" s="79"/>
      <c r="DA28" s="80"/>
      <c r="DB28" s="81"/>
      <c r="DC28" s="82"/>
      <c r="DD28" s="83"/>
      <c r="DE28" s="78"/>
      <c r="DF28" s="79"/>
      <c r="DG28" s="79"/>
      <c r="DH28" s="80"/>
      <c r="DI28" s="81"/>
      <c r="DJ28" s="82"/>
      <c r="DK28" s="83"/>
      <c r="DL28" s="78"/>
      <c r="DM28" s="79"/>
      <c r="DN28" s="79"/>
      <c r="DO28" s="80"/>
      <c r="DP28" s="81"/>
      <c r="DQ28" s="82"/>
      <c r="DR28" s="83"/>
      <c r="DS28" s="78"/>
      <c r="DT28" s="79"/>
      <c r="DU28" s="79"/>
      <c r="DV28" s="80"/>
      <c r="DW28" s="81"/>
      <c r="DX28" s="82"/>
      <c r="DY28" s="83"/>
      <c r="DZ28" s="78"/>
      <c r="EA28" s="79"/>
      <c r="EB28" s="79"/>
      <c r="EC28" s="80"/>
      <c r="ED28" s="81"/>
      <c r="EE28" s="82"/>
      <c r="EF28" s="83"/>
      <c r="EG28" s="78"/>
      <c r="EH28" s="79"/>
      <c r="EI28" s="79"/>
      <c r="EJ28" s="80"/>
      <c r="EK28" s="81"/>
      <c r="EL28" s="82"/>
      <c r="EM28" s="83"/>
      <c r="EN28" s="78"/>
      <c r="EO28" s="79"/>
      <c r="EP28" s="79"/>
      <c r="EQ28" s="80"/>
      <c r="ER28" s="81"/>
      <c r="ES28" s="82"/>
      <c r="ET28" s="83"/>
      <c r="EU28" s="78"/>
      <c r="EV28" s="79"/>
      <c r="EW28" s="79"/>
      <c r="EX28" s="80"/>
      <c r="EY28" s="81"/>
      <c r="EZ28" s="82"/>
      <c r="FA28" s="83"/>
      <c r="FB28" s="78"/>
      <c r="FC28" s="79"/>
      <c r="FD28" s="79"/>
      <c r="FE28" s="80"/>
      <c r="FF28" s="81"/>
      <c r="FG28" s="82"/>
      <c r="FH28" s="83"/>
      <c r="FI28" s="78"/>
      <c r="FJ28" s="79"/>
      <c r="FK28" s="79"/>
      <c r="FL28" s="80"/>
      <c r="FM28" s="81"/>
      <c r="FN28" s="82"/>
      <c r="FO28" s="83"/>
      <c r="FP28" s="78"/>
      <c r="FQ28" s="79"/>
      <c r="FR28" s="79"/>
      <c r="FS28" s="80"/>
      <c r="FT28" s="81"/>
      <c r="FU28" s="82"/>
      <c r="FV28" s="83"/>
      <c r="FW28" s="78"/>
      <c r="FX28" s="79"/>
      <c r="FY28" s="79"/>
      <c r="FZ28" s="80"/>
      <c r="GA28" s="81"/>
      <c r="GB28" s="82"/>
      <c r="GC28" s="83"/>
      <c r="GD28" s="78"/>
      <c r="GE28" s="79"/>
      <c r="GF28" s="79"/>
      <c r="GG28" s="80"/>
      <c r="GH28" s="81"/>
      <c r="GI28" s="82"/>
      <c r="GJ28" s="83"/>
      <c r="GK28" s="78"/>
      <c r="GL28" s="79"/>
      <c r="GM28" s="79"/>
      <c r="GN28" s="80"/>
      <c r="GO28" s="81"/>
      <c r="GP28" s="82"/>
      <c r="GQ28" s="83"/>
      <c r="GR28" s="78"/>
      <c r="GS28" s="79"/>
      <c r="GT28" s="79"/>
      <c r="GU28" s="80"/>
      <c r="GV28" s="81"/>
      <c r="GW28" s="82"/>
      <c r="GX28" s="83"/>
      <c r="GY28" s="78"/>
      <c r="GZ28" s="79"/>
      <c r="HA28" s="79"/>
      <c r="HB28" s="80"/>
      <c r="HC28" s="81"/>
      <c r="HD28" s="82"/>
      <c r="HE28" s="83"/>
      <c r="HF28" s="78"/>
      <c r="HG28" s="79"/>
      <c r="HH28" s="79"/>
      <c r="HI28" s="80"/>
      <c r="HJ28" s="81"/>
      <c r="HK28" s="82"/>
      <c r="HL28" s="83"/>
      <c r="HM28" s="78"/>
      <c r="HN28" s="79"/>
      <c r="HO28" s="79"/>
      <c r="HP28" s="80"/>
      <c r="HQ28" s="81"/>
      <c r="HR28" s="82"/>
      <c r="HS28" s="83"/>
      <c r="HT28" s="78"/>
      <c r="HU28" s="79"/>
      <c r="HV28" s="79"/>
      <c r="HW28" s="80"/>
      <c r="HX28" s="81"/>
      <c r="HY28" s="82"/>
      <c r="HZ28" s="83"/>
      <c r="IA28" s="78"/>
      <c r="IB28" s="79"/>
      <c r="IC28" s="79"/>
      <c r="ID28" s="80"/>
      <c r="IE28" s="81"/>
      <c r="IF28" s="82"/>
      <c r="IG28" s="83"/>
      <c r="IH28" s="78"/>
      <c r="II28" s="79"/>
      <c r="IJ28" s="79"/>
      <c r="IK28" s="80"/>
      <c r="IL28" s="81"/>
      <c r="IM28" s="82"/>
      <c r="IN28" s="83"/>
      <c r="IO28" s="78"/>
      <c r="IP28" s="79"/>
      <c r="IQ28" s="79"/>
      <c r="IR28" s="80"/>
      <c r="IS28" s="81"/>
      <c r="IT28" s="82"/>
      <c r="IU28" s="83"/>
      <c r="IV28" s="78"/>
      <c r="IW28" s="79"/>
      <c r="IX28" s="79"/>
      <c r="IY28" s="80"/>
      <c r="IZ28" s="81"/>
      <c r="JA28" s="82"/>
      <c r="JB28" s="83"/>
      <c r="JC28" s="78"/>
      <c r="JD28" s="79"/>
      <c r="JE28" s="79"/>
      <c r="JF28" s="80"/>
      <c r="JG28" s="81"/>
      <c r="JH28" s="82"/>
      <c r="JI28" s="83"/>
      <c r="JJ28" s="78"/>
      <c r="JK28" s="79"/>
      <c r="JL28" s="79"/>
      <c r="JM28" s="80"/>
      <c r="JN28" s="81"/>
      <c r="JO28" s="82"/>
      <c r="JP28" s="83"/>
      <c r="JQ28" s="78"/>
      <c r="JR28" s="79"/>
      <c r="JS28" s="79"/>
      <c r="JT28" s="80"/>
      <c r="JU28" s="81"/>
      <c r="JV28" s="82"/>
      <c r="JW28" s="83"/>
      <c r="JX28" s="78"/>
      <c r="JY28" s="79"/>
      <c r="JZ28" s="79"/>
      <c r="KA28" s="80"/>
      <c r="KB28" s="81"/>
      <c r="KC28" s="82"/>
      <c r="KD28" s="83"/>
      <c r="KE28" s="78"/>
      <c r="KF28" s="79"/>
      <c r="KG28" s="79"/>
      <c r="KH28" s="80"/>
      <c r="KI28" s="81"/>
      <c r="KJ28" s="82"/>
      <c r="KK28" s="83"/>
      <c r="KL28" s="78"/>
      <c r="KM28" s="79"/>
      <c r="KN28" s="79"/>
      <c r="KO28" s="80"/>
      <c r="KP28" s="81"/>
      <c r="KQ28" s="82"/>
      <c r="KR28" s="83"/>
      <c r="KS28" s="78"/>
      <c r="KT28" s="79"/>
      <c r="KU28" s="79"/>
      <c r="KV28" s="80"/>
      <c r="KW28" s="81"/>
      <c r="KX28" s="82"/>
      <c r="KY28" s="83"/>
      <c r="KZ28" s="78"/>
      <c r="LA28" s="79"/>
      <c r="LB28" s="79"/>
      <c r="LC28" s="80"/>
      <c r="LD28" s="81"/>
      <c r="LE28" s="82"/>
      <c r="LF28" s="83"/>
      <c r="LG28" s="78"/>
      <c r="LH28" s="79"/>
      <c r="LI28" s="79"/>
      <c r="LJ28" s="80"/>
      <c r="LK28" s="81"/>
      <c r="LL28" s="82"/>
      <c r="LM28" s="83"/>
      <c r="LN28" s="78"/>
      <c r="LO28" s="79"/>
      <c r="LP28" s="79"/>
      <c r="LQ28" s="80"/>
      <c r="LR28" s="81"/>
      <c r="LS28" s="82"/>
      <c r="LT28" s="83"/>
      <c r="LU28" s="78"/>
      <c r="LV28" s="79"/>
      <c r="LW28" s="79"/>
      <c r="LX28" s="80"/>
      <c r="LY28" s="81"/>
      <c r="LZ28" s="82"/>
      <c r="MA28" s="83"/>
      <c r="MB28" s="78"/>
      <c r="MC28" s="79"/>
      <c r="MD28" s="79"/>
      <c r="ME28" s="80"/>
      <c r="MF28" s="81"/>
      <c r="MG28" s="82"/>
      <c r="MH28" s="83"/>
      <c r="MI28" s="78"/>
      <c r="MJ28" s="79"/>
      <c r="MK28" s="79"/>
      <c r="ML28" s="80"/>
      <c r="MM28" s="81"/>
      <c r="MN28" s="82"/>
      <c r="MO28" s="83"/>
      <c r="MP28" s="78"/>
      <c r="MQ28" s="79"/>
      <c r="MR28" s="79"/>
      <c r="MS28" s="80"/>
      <c r="MT28" s="81"/>
      <c r="MU28" s="82"/>
      <c r="MV28" s="83"/>
      <c r="MW28" s="78"/>
      <c r="MX28" s="79"/>
      <c r="MY28" s="79"/>
      <c r="MZ28" s="80"/>
      <c r="NA28" s="81"/>
      <c r="NB28" s="82"/>
      <c r="NC28" s="83"/>
      <c r="ND28" s="78"/>
      <c r="NE28" s="79"/>
      <c r="NF28" s="79"/>
      <c r="NG28" s="80"/>
      <c r="NH28" s="81"/>
      <c r="NI28" s="82"/>
      <c r="NJ28" s="83"/>
      <c r="NK28" s="78"/>
      <c r="NL28" s="79"/>
      <c r="NM28" s="79"/>
      <c r="NN28" s="80"/>
      <c r="NO28" s="81"/>
      <c r="NP28" s="82"/>
      <c r="NQ28" s="83"/>
    </row>
    <row r="29" spans="1:381" ht="15" customHeight="1" x14ac:dyDescent="0.15">
      <c r="A29" s="65">
        <v>24</v>
      </c>
      <c r="B29" s="76"/>
      <c r="C29" s="77"/>
      <c r="D29" s="78"/>
      <c r="E29" s="79"/>
      <c r="F29" s="79"/>
      <c r="G29" s="80"/>
      <c r="H29" s="81"/>
      <c r="I29" s="82"/>
      <c r="J29" s="83"/>
      <c r="K29" s="78"/>
      <c r="L29" s="79"/>
      <c r="M29" s="79"/>
      <c r="N29" s="80"/>
      <c r="O29" s="81"/>
      <c r="P29" s="82"/>
      <c r="Q29" s="83"/>
      <c r="R29" s="78"/>
      <c r="S29" s="79"/>
      <c r="T29" s="79"/>
      <c r="U29" s="80"/>
      <c r="V29" s="81"/>
      <c r="W29" s="82"/>
      <c r="X29" s="83"/>
      <c r="Y29" s="78"/>
      <c r="Z29" s="79"/>
      <c r="AA29" s="79"/>
      <c r="AB29" s="80"/>
      <c r="AC29" s="81"/>
      <c r="AD29" s="82"/>
      <c r="AE29" s="83"/>
      <c r="AF29" s="78"/>
      <c r="AG29" s="79"/>
      <c r="AH29" s="79"/>
      <c r="AI29" s="80"/>
      <c r="AJ29" s="81"/>
      <c r="AK29" s="82"/>
      <c r="AL29" s="83"/>
      <c r="AM29" s="78"/>
      <c r="AN29" s="79"/>
      <c r="AO29" s="79"/>
      <c r="AP29" s="80"/>
      <c r="AQ29" s="81"/>
      <c r="AR29" s="82"/>
      <c r="AS29" s="83"/>
      <c r="AT29" s="78"/>
      <c r="AU29" s="79"/>
      <c r="AV29" s="79"/>
      <c r="AW29" s="80"/>
      <c r="AX29" s="81"/>
      <c r="AY29" s="82"/>
      <c r="AZ29" s="83"/>
      <c r="BA29" s="78"/>
      <c r="BB29" s="79"/>
      <c r="BC29" s="79"/>
      <c r="BD29" s="80"/>
      <c r="BE29" s="81"/>
      <c r="BF29" s="82"/>
      <c r="BG29" s="83"/>
      <c r="BH29" s="78"/>
      <c r="BI29" s="79"/>
      <c r="BJ29" s="79"/>
      <c r="BK29" s="80"/>
      <c r="BL29" s="81"/>
      <c r="BM29" s="82"/>
      <c r="BN29" s="83"/>
      <c r="BO29" s="78"/>
      <c r="BP29" s="79"/>
      <c r="BQ29" s="79"/>
      <c r="BR29" s="80"/>
      <c r="BS29" s="81"/>
      <c r="BT29" s="82"/>
      <c r="BU29" s="83"/>
      <c r="BV29" s="78"/>
      <c r="BW29" s="79"/>
      <c r="BX29" s="79"/>
      <c r="BY29" s="80"/>
      <c r="BZ29" s="81"/>
      <c r="CA29" s="82"/>
      <c r="CB29" s="83"/>
      <c r="CC29" s="78"/>
      <c r="CD29" s="79"/>
      <c r="CE29" s="79"/>
      <c r="CF29" s="80"/>
      <c r="CG29" s="81"/>
      <c r="CH29" s="82"/>
      <c r="CI29" s="83"/>
      <c r="CJ29" s="78"/>
      <c r="CK29" s="79"/>
      <c r="CL29" s="79"/>
      <c r="CM29" s="80"/>
      <c r="CN29" s="81"/>
      <c r="CO29" s="82"/>
      <c r="CP29" s="83"/>
      <c r="CQ29" s="78"/>
      <c r="CR29" s="79"/>
      <c r="CS29" s="79"/>
      <c r="CT29" s="80"/>
      <c r="CU29" s="81"/>
      <c r="CV29" s="82"/>
      <c r="CW29" s="83"/>
      <c r="CX29" s="78"/>
      <c r="CY29" s="79"/>
      <c r="CZ29" s="79"/>
      <c r="DA29" s="80"/>
      <c r="DB29" s="81"/>
      <c r="DC29" s="82"/>
      <c r="DD29" s="83"/>
      <c r="DE29" s="78"/>
      <c r="DF29" s="79"/>
      <c r="DG29" s="79"/>
      <c r="DH29" s="80"/>
      <c r="DI29" s="81"/>
      <c r="DJ29" s="82"/>
      <c r="DK29" s="83"/>
      <c r="DL29" s="78"/>
      <c r="DM29" s="79"/>
      <c r="DN29" s="79"/>
      <c r="DO29" s="80"/>
      <c r="DP29" s="81"/>
      <c r="DQ29" s="82"/>
      <c r="DR29" s="83"/>
      <c r="DS29" s="78"/>
      <c r="DT29" s="79"/>
      <c r="DU29" s="79"/>
      <c r="DV29" s="80"/>
      <c r="DW29" s="81"/>
      <c r="DX29" s="82"/>
      <c r="DY29" s="83"/>
      <c r="DZ29" s="78"/>
      <c r="EA29" s="79"/>
      <c r="EB29" s="79"/>
      <c r="EC29" s="80"/>
      <c r="ED29" s="81"/>
      <c r="EE29" s="82"/>
      <c r="EF29" s="83"/>
      <c r="EG29" s="78"/>
      <c r="EH29" s="79"/>
      <c r="EI29" s="79"/>
      <c r="EJ29" s="80"/>
      <c r="EK29" s="81"/>
      <c r="EL29" s="82"/>
      <c r="EM29" s="83"/>
      <c r="EN29" s="78"/>
      <c r="EO29" s="79"/>
      <c r="EP29" s="79"/>
      <c r="EQ29" s="80"/>
      <c r="ER29" s="81"/>
      <c r="ES29" s="82"/>
      <c r="ET29" s="83"/>
      <c r="EU29" s="78"/>
      <c r="EV29" s="79"/>
      <c r="EW29" s="79"/>
      <c r="EX29" s="80"/>
      <c r="EY29" s="81"/>
      <c r="EZ29" s="82"/>
      <c r="FA29" s="83"/>
      <c r="FB29" s="78"/>
      <c r="FC29" s="79"/>
      <c r="FD29" s="79"/>
      <c r="FE29" s="80"/>
      <c r="FF29" s="81"/>
      <c r="FG29" s="82"/>
      <c r="FH29" s="83"/>
      <c r="FI29" s="78"/>
      <c r="FJ29" s="79"/>
      <c r="FK29" s="79"/>
      <c r="FL29" s="80"/>
      <c r="FM29" s="81"/>
      <c r="FN29" s="82"/>
      <c r="FO29" s="83"/>
      <c r="FP29" s="78"/>
      <c r="FQ29" s="79"/>
      <c r="FR29" s="79"/>
      <c r="FS29" s="80"/>
      <c r="FT29" s="81"/>
      <c r="FU29" s="82"/>
      <c r="FV29" s="83"/>
      <c r="FW29" s="78"/>
      <c r="FX29" s="79"/>
      <c r="FY29" s="79"/>
      <c r="FZ29" s="80"/>
      <c r="GA29" s="81"/>
      <c r="GB29" s="82"/>
      <c r="GC29" s="83"/>
      <c r="GD29" s="78"/>
      <c r="GE29" s="79"/>
      <c r="GF29" s="79"/>
      <c r="GG29" s="80"/>
      <c r="GH29" s="81"/>
      <c r="GI29" s="82"/>
      <c r="GJ29" s="83"/>
      <c r="GK29" s="78"/>
      <c r="GL29" s="79"/>
      <c r="GM29" s="79"/>
      <c r="GN29" s="80"/>
      <c r="GO29" s="81"/>
      <c r="GP29" s="82"/>
      <c r="GQ29" s="83"/>
      <c r="GR29" s="78"/>
      <c r="GS29" s="79"/>
      <c r="GT29" s="79"/>
      <c r="GU29" s="80"/>
      <c r="GV29" s="81"/>
      <c r="GW29" s="82"/>
      <c r="GX29" s="83"/>
      <c r="GY29" s="78"/>
      <c r="GZ29" s="79"/>
      <c r="HA29" s="79"/>
      <c r="HB29" s="80"/>
      <c r="HC29" s="81"/>
      <c r="HD29" s="82"/>
      <c r="HE29" s="83"/>
      <c r="HF29" s="78"/>
      <c r="HG29" s="79"/>
      <c r="HH29" s="79"/>
      <c r="HI29" s="80"/>
      <c r="HJ29" s="81"/>
      <c r="HK29" s="82"/>
      <c r="HL29" s="83"/>
      <c r="HM29" s="78"/>
      <c r="HN29" s="79"/>
      <c r="HO29" s="79"/>
      <c r="HP29" s="80"/>
      <c r="HQ29" s="81"/>
      <c r="HR29" s="82"/>
      <c r="HS29" s="83"/>
      <c r="HT29" s="78"/>
      <c r="HU29" s="79"/>
      <c r="HV29" s="79"/>
      <c r="HW29" s="80"/>
      <c r="HX29" s="81"/>
      <c r="HY29" s="82"/>
      <c r="HZ29" s="83"/>
      <c r="IA29" s="78"/>
      <c r="IB29" s="79"/>
      <c r="IC29" s="79"/>
      <c r="ID29" s="80"/>
      <c r="IE29" s="81"/>
      <c r="IF29" s="82"/>
      <c r="IG29" s="83"/>
      <c r="IH29" s="78"/>
      <c r="II29" s="79"/>
      <c r="IJ29" s="79"/>
      <c r="IK29" s="80"/>
      <c r="IL29" s="81"/>
      <c r="IM29" s="82"/>
      <c r="IN29" s="83"/>
      <c r="IO29" s="78"/>
      <c r="IP29" s="79"/>
      <c r="IQ29" s="79"/>
      <c r="IR29" s="80"/>
      <c r="IS29" s="81"/>
      <c r="IT29" s="82"/>
      <c r="IU29" s="83"/>
      <c r="IV29" s="78"/>
      <c r="IW29" s="79"/>
      <c r="IX29" s="79"/>
      <c r="IY29" s="80"/>
      <c r="IZ29" s="81"/>
      <c r="JA29" s="82"/>
      <c r="JB29" s="83"/>
      <c r="JC29" s="78"/>
      <c r="JD29" s="79"/>
      <c r="JE29" s="79"/>
      <c r="JF29" s="80"/>
      <c r="JG29" s="81"/>
      <c r="JH29" s="82"/>
      <c r="JI29" s="83"/>
      <c r="JJ29" s="78"/>
      <c r="JK29" s="79"/>
      <c r="JL29" s="79"/>
      <c r="JM29" s="80"/>
      <c r="JN29" s="81"/>
      <c r="JO29" s="82"/>
      <c r="JP29" s="83"/>
      <c r="JQ29" s="78"/>
      <c r="JR29" s="79"/>
      <c r="JS29" s="79"/>
      <c r="JT29" s="80"/>
      <c r="JU29" s="81"/>
      <c r="JV29" s="82"/>
      <c r="JW29" s="83"/>
      <c r="JX29" s="78"/>
      <c r="JY29" s="79"/>
      <c r="JZ29" s="79"/>
      <c r="KA29" s="80"/>
      <c r="KB29" s="81"/>
      <c r="KC29" s="82"/>
      <c r="KD29" s="83"/>
      <c r="KE29" s="78"/>
      <c r="KF29" s="79"/>
      <c r="KG29" s="79"/>
      <c r="KH29" s="80"/>
      <c r="KI29" s="81"/>
      <c r="KJ29" s="82"/>
      <c r="KK29" s="83"/>
      <c r="KL29" s="78"/>
      <c r="KM29" s="79"/>
      <c r="KN29" s="79"/>
      <c r="KO29" s="80"/>
      <c r="KP29" s="81"/>
      <c r="KQ29" s="82"/>
      <c r="KR29" s="83"/>
      <c r="KS29" s="78"/>
      <c r="KT29" s="79"/>
      <c r="KU29" s="79"/>
      <c r="KV29" s="80"/>
      <c r="KW29" s="81"/>
      <c r="KX29" s="82"/>
      <c r="KY29" s="83"/>
      <c r="KZ29" s="78"/>
      <c r="LA29" s="79"/>
      <c r="LB29" s="79"/>
      <c r="LC29" s="80"/>
      <c r="LD29" s="81"/>
      <c r="LE29" s="82"/>
      <c r="LF29" s="83"/>
      <c r="LG29" s="78"/>
      <c r="LH29" s="79"/>
      <c r="LI29" s="79"/>
      <c r="LJ29" s="80"/>
      <c r="LK29" s="81"/>
      <c r="LL29" s="82"/>
      <c r="LM29" s="83"/>
      <c r="LN29" s="78"/>
      <c r="LO29" s="79"/>
      <c r="LP29" s="79"/>
      <c r="LQ29" s="80"/>
      <c r="LR29" s="81"/>
      <c r="LS29" s="82"/>
      <c r="LT29" s="83"/>
      <c r="LU29" s="78"/>
      <c r="LV29" s="79"/>
      <c r="LW29" s="79"/>
      <c r="LX29" s="80"/>
      <c r="LY29" s="81"/>
      <c r="LZ29" s="82"/>
      <c r="MA29" s="83"/>
      <c r="MB29" s="78"/>
      <c r="MC29" s="79"/>
      <c r="MD29" s="79"/>
      <c r="ME29" s="80"/>
      <c r="MF29" s="81"/>
      <c r="MG29" s="82"/>
      <c r="MH29" s="83"/>
      <c r="MI29" s="78"/>
      <c r="MJ29" s="79"/>
      <c r="MK29" s="79"/>
      <c r="ML29" s="80"/>
      <c r="MM29" s="81"/>
      <c r="MN29" s="82"/>
      <c r="MO29" s="83"/>
      <c r="MP29" s="78"/>
      <c r="MQ29" s="79"/>
      <c r="MR29" s="79"/>
      <c r="MS29" s="80"/>
      <c r="MT29" s="81"/>
      <c r="MU29" s="82"/>
      <c r="MV29" s="83"/>
      <c r="MW29" s="78"/>
      <c r="MX29" s="79"/>
      <c r="MY29" s="79"/>
      <c r="MZ29" s="80"/>
      <c r="NA29" s="81"/>
      <c r="NB29" s="82"/>
      <c r="NC29" s="83"/>
      <c r="ND29" s="78"/>
      <c r="NE29" s="79"/>
      <c r="NF29" s="79"/>
      <c r="NG29" s="80"/>
      <c r="NH29" s="81"/>
      <c r="NI29" s="82"/>
      <c r="NJ29" s="83"/>
      <c r="NK29" s="78"/>
      <c r="NL29" s="79"/>
      <c r="NM29" s="79"/>
      <c r="NN29" s="80"/>
      <c r="NO29" s="81"/>
      <c r="NP29" s="82"/>
      <c r="NQ29" s="83"/>
    </row>
    <row r="30" spans="1:381" ht="15" customHeight="1" x14ac:dyDescent="0.15">
      <c r="A30" s="65">
        <v>25</v>
      </c>
      <c r="B30" s="76"/>
      <c r="C30" s="77">
        <v>0.45833333333333298</v>
      </c>
      <c r="D30" s="78"/>
      <c r="E30" s="79"/>
      <c r="F30" s="79"/>
      <c r="G30" s="80"/>
      <c r="H30" s="81"/>
      <c r="I30" s="82"/>
      <c r="J30" s="83"/>
      <c r="K30" s="78"/>
      <c r="L30" s="79"/>
      <c r="M30" s="79"/>
      <c r="N30" s="80"/>
      <c r="O30" s="81"/>
      <c r="P30" s="82"/>
      <c r="Q30" s="83"/>
      <c r="R30" s="78"/>
      <c r="S30" s="79"/>
      <c r="T30" s="79"/>
      <c r="U30" s="80"/>
      <c r="V30" s="81"/>
      <c r="W30" s="82"/>
      <c r="X30" s="83"/>
      <c r="Y30" s="78"/>
      <c r="Z30" s="79"/>
      <c r="AA30" s="79"/>
      <c r="AB30" s="80"/>
      <c r="AC30" s="81"/>
      <c r="AD30" s="82"/>
      <c r="AE30" s="83"/>
      <c r="AF30" s="78"/>
      <c r="AG30" s="79"/>
      <c r="AH30" s="79"/>
      <c r="AI30" s="80"/>
      <c r="AJ30" s="81"/>
      <c r="AK30" s="82"/>
      <c r="AL30" s="83"/>
      <c r="AM30" s="78"/>
      <c r="AN30" s="79"/>
      <c r="AO30" s="79"/>
      <c r="AP30" s="80"/>
      <c r="AQ30" s="81"/>
      <c r="AR30" s="82"/>
      <c r="AS30" s="83"/>
      <c r="AT30" s="78"/>
      <c r="AU30" s="79"/>
      <c r="AV30" s="79"/>
      <c r="AW30" s="80"/>
      <c r="AX30" s="81"/>
      <c r="AY30" s="82"/>
      <c r="AZ30" s="83"/>
      <c r="BA30" s="78"/>
      <c r="BB30" s="79"/>
      <c r="BC30" s="79"/>
      <c r="BD30" s="80"/>
      <c r="BE30" s="81"/>
      <c r="BF30" s="82"/>
      <c r="BG30" s="83"/>
      <c r="BH30" s="78"/>
      <c r="BI30" s="79"/>
      <c r="BJ30" s="79"/>
      <c r="BK30" s="80"/>
      <c r="BL30" s="81"/>
      <c r="BM30" s="82"/>
      <c r="BN30" s="83"/>
      <c r="BO30" s="78"/>
      <c r="BP30" s="79"/>
      <c r="BQ30" s="79"/>
      <c r="BR30" s="80"/>
      <c r="BS30" s="81"/>
      <c r="BT30" s="82"/>
      <c r="BU30" s="83"/>
      <c r="BV30" s="78"/>
      <c r="BW30" s="79"/>
      <c r="BX30" s="79"/>
      <c r="BY30" s="80"/>
      <c r="BZ30" s="81"/>
      <c r="CA30" s="82"/>
      <c r="CB30" s="83"/>
      <c r="CC30" s="78"/>
      <c r="CD30" s="79"/>
      <c r="CE30" s="79"/>
      <c r="CF30" s="80"/>
      <c r="CG30" s="81"/>
      <c r="CH30" s="82"/>
      <c r="CI30" s="83"/>
      <c r="CJ30" s="78"/>
      <c r="CK30" s="79"/>
      <c r="CL30" s="79"/>
      <c r="CM30" s="80"/>
      <c r="CN30" s="81"/>
      <c r="CO30" s="82"/>
      <c r="CP30" s="83"/>
      <c r="CQ30" s="78"/>
      <c r="CR30" s="79"/>
      <c r="CS30" s="79"/>
      <c r="CT30" s="80"/>
      <c r="CU30" s="81"/>
      <c r="CV30" s="82"/>
      <c r="CW30" s="83"/>
      <c r="CX30" s="78"/>
      <c r="CY30" s="79"/>
      <c r="CZ30" s="79"/>
      <c r="DA30" s="80"/>
      <c r="DB30" s="81"/>
      <c r="DC30" s="82"/>
      <c r="DD30" s="83"/>
      <c r="DE30" s="78"/>
      <c r="DF30" s="79"/>
      <c r="DG30" s="79"/>
      <c r="DH30" s="80"/>
      <c r="DI30" s="81"/>
      <c r="DJ30" s="82"/>
      <c r="DK30" s="83"/>
      <c r="DL30" s="78"/>
      <c r="DM30" s="79"/>
      <c r="DN30" s="79"/>
      <c r="DO30" s="80"/>
      <c r="DP30" s="81"/>
      <c r="DQ30" s="82"/>
      <c r="DR30" s="83"/>
      <c r="DS30" s="78"/>
      <c r="DT30" s="79"/>
      <c r="DU30" s="79"/>
      <c r="DV30" s="80"/>
      <c r="DW30" s="81"/>
      <c r="DX30" s="82"/>
      <c r="DY30" s="83"/>
      <c r="DZ30" s="78"/>
      <c r="EA30" s="79"/>
      <c r="EB30" s="79"/>
      <c r="EC30" s="80"/>
      <c r="ED30" s="81"/>
      <c r="EE30" s="82"/>
      <c r="EF30" s="83"/>
      <c r="EG30" s="78"/>
      <c r="EH30" s="79"/>
      <c r="EI30" s="79"/>
      <c r="EJ30" s="80"/>
      <c r="EK30" s="81"/>
      <c r="EL30" s="82"/>
      <c r="EM30" s="83"/>
      <c r="EN30" s="78"/>
      <c r="EO30" s="79"/>
      <c r="EP30" s="79"/>
      <c r="EQ30" s="80"/>
      <c r="ER30" s="81"/>
      <c r="ES30" s="82"/>
      <c r="ET30" s="83"/>
      <c r="EU30" s="78"/>
      <c r="EV30" s="79"/>
      <c r="EW30" s="79"/>
      <c r="EX30" s="80"/>
      <c r="EY30" s="81"/>
      <c r="EZ30" s="82"/>
      <c r="FA30" s="83"/>
      <c r="FB30" s="78"/>
      <c r="FC30" s="79"/>
      <c r="FD30" s="79"/>
      <c r="FE30" s="80"/>
      <c r="FF30" s="81"/>
      <c r="FG30" s="82"/>
      <c r="FH30" s="83"/>
      <c r="FI30" s="78"/>
      <c r="FJ30" s="79"/>
      <c r="FK30" s="79"/>
      <c r="FL30" s="80"/>
      <c r="FM30" s="81"/>
      <c r="FN30" s="82"/>
      <c r="FO30" s="83"/>
      <c r="FP30" s="78"/>
      <c r="FQ30" s="79"/>
      <c r="FR30" s="79"/>
      <c r="FS30" s="80"/>
      <c r="FT30" s="81"/>
      <c r="FU30" s="82"/>
      <c r="FV30" s="83"/>
      <c r="FW30" s="78"/>
      <c r="FX30" s="79"/>
      <c r="FY30" s="79"/>
      <c r="FZ30" s="80"/>
      <c r="GA30" s="81"/>
      <c r="GB30" s="82"/>
      <c r="GC30" s="83"/>
      <c r="GD30" s="78"/>
      <c r="GE30" s="79"/>
      <c r="GF30" s="79"/>
      <c r="GG30" s="80"/>
      <c r="GH30" s="81"/>
      <c r="GI30" s="82"/>
      <c r="GJ30" s="83"/>
      <c r="GK30" s="78"/>
      <c r="GL30" s="79"/>
      <c r="GM30" s="79"/>
      <c r="GN30" s="80"/>
      <c r="GO30" s="81"/>
      <c r="GP30" s="82"/>
      <c r="GQ30" s="83"/>
      <c r="GR30" s="78"/>
      <c r="GS30" s="79"/>
      <c r="GT30" s="79"/>
      <c r="GU30" s="80"/>
      <c r="GV30" s="81"/>
      <c r="GW30" s="82"/>
      <c r="GX30" s="83"/>
      <c r="GY30" s="78"/>
      <c r="GZ30" s="79"/>
      <c r="HA30" s="79"/>
      <c r="HB30" s="80"/>
      <c r="HC30" s="81"/>
      <c r="HD30" s="82"/>
      <c r="HE30" s="83"/>
      <c r="HF30" s="78"/>
      <c r="HG30" s="79"/>
      <c r="HH30" s="79"/>
      <c r="HI30" s="80"/>
      <c r="HJ30" s="81"/>
      <c r="HK30" s="82"/>
      <c r="HL30" s="83"/>
      <c r="HM30" s="78"/>
      <c r="HN30" s="79"/>
      <c r="HO30" s="79"/>
      <c r="HP30" s="80"/>
      <c r="HQ30" s="81"/>
      <c r="HR30" s="82"/>
      <c r="HS30" s="83"/>
      <c r="HT30" s="78"/>
      <c r="HU30" s="79"/>
      <c r="HV30" s="79"/>
      <c r="HW30" s="80"/>
      <c r="HX30" s="81"/>
      <c r="HY30" s="82"/>
      <c r="HZ30" s="83"/>
      <c r="IA30" s="78"/>
      <c r="IB30" s="79"/>
      <c r="IC30" s="79"/>
      <c r="ID30" s="80"/>
      <c r="IE30" s="81"/>
      <c r="IF30" s="82"/>
      <c r="IG30" s="83"/>
      <c r="IH30" s="78"/>
      <c r="II30" s="79"/>
      <c r="IJ30" s="79"/>
      <c r="IK30" s="80"/>
      <c r="IL30" s="81"/>
      <c r="IM30" s="82"/>
      <c r="IN30" s="83"/>
      <c r="IO30" s="78"/>
      <c r="IP30" s="79"/>
      <c r="IQ30" s="79"/>
      <c r="IR30" s="80"/>
      <c r="IS30" s="81"/>
      <c r="IT30" s="82"/>
      <c r="IU30" s="83"/>
      <c r="IV30" s="78"/>
      <c r="IW30" s="79"/>
      <c r="IX30" s="79"/>
      <c r="IY30" s="80"/>
      <c r="IZ30" s="81"/>
      <c r="JA30" s="82"/>
      <c r="JB30" s="83"/>
      <c r="JC30" s="78"/>
      <c r="JD30" s="79"/>
      <c r="JE30" s="79"/>
      <c r="JF30" s="80"/>
      <c r="JG30" s="81"/>
      <c r="JH30" s="82"/>
      <c r="JI30" s="83"/>
      <c r="JJ30" s="78"/>
      <c r="JK30" s="79"/>
      <c r="JL30" s="79"/>
      <c r="JM30" s="80"/>
      <c r="JN30" s="81"/>
      <c r="JO30" s="82"/>
      <c r="JP30" s="83"/>
      <c r="JQ30" s="78"/>
      <c r="JR30" s="79"/>
      <c r="JS30" s="79"/>
      <c r="JT30" s="80"/>
      <c r="JU30" s="81"/>
      <c r="JV30" s="82"/>
      <c r="JW30" s="83"/>
      <c r="JX30" s="78"/>
      <c r="JY30" s="79"/>
      <c r="JZ30" s="79"/>
      <c r="KA30" s="80"/>
      <c r="KB30" s="81"/>
      <c r="KC30" s="82"/>
      <c r="KD30" s="83"/>
      <c r="KE30" s="78"/>
      <c r="KF30" s="79"/>
      <c r="KG30" s="79"/>
      <c r="KH30" s="80"/>
      <c r="KI30" s="81"/>
      <c r="KJ30" s="82"/>
      <c r="KK30" s="83"/>
      <c r="KL30" s="78"/>
      <c r="KM30" s="79"/>
      <c r="KN30" s="79"/>
      <c r="KO30" s="80"/>
      <c r="KP30" s="81"/>
      <c r="KQ30" s="82"/>
      <c r="KR30" s="83"/>
      <c r="KS30" s="78"/>
      <c r="KT30" s="79"/>
      <c r="KU30" s="79"/>
      <c r="KV30" s="80"/>
      <c r="KW30" s="81"/>
      <c r="KX30" s="82"/>
      <c r="KY30" s="83"/>
      <c r="KZ30" s="78"/>
      <c r="LA30" s="79"/>
      <c r="LB30" s="79"/>
      <c r="LC30" s="80"/>
      <c r="LD30" s="81"/>
      <c r="LE30" s="82"/>
      <c r="LF30" s="83"/>
      <c r="LG30" s="78"/>
      <c r="LH30" s="79"/>
      <c r="LI30" s="79"/>
      <c r="LJ30" s="80"/>
      <c r="LK30" s="81"/>
      <c r="LL30" s="82"/>
      <c r="LM30" s="83"/>
      <c r="LN30" s="78"/>
      <c r="LO30" s="79"/>
      <c r="LP30" s="79"/>
      <c r="LQ30" s="80"/>
      <c r="LR30" s="81"/>
      <c r="LS30" s="82"/>
      <c r="LT30" s="83"/>
      <c r="LU30" s="78"/>
      <c r="LV30" s="79"/>
      <c r="LW30" s="79"/>
      <c r="LX30" s="80"/>
      <c r="LY30" s="81"/>
      <c r="LZ30" s="82"/>
      <c r="MA30" s="83"/>
      <c r="MB30" s="78"/>
      <c r="MC30" s="79"/>
      <c r="MD30" s="79"/>
      <c r="ME30" s="80"/>
      <c r="MF30" s="81"/>
      <c r="MG30" s="82"/>
      <c r="MH30" s="83"/>
      <c r="MI30" s="78"/>
      <c r="MJ30" s="79"/>
      <c r="MK30" s="79"/>
      <c r="ML30" s="80"/>
      <c r="MM30" s="81"/>
      <c r="MN30" s="82"/>
      <c r="MO30" s="83"/>
      <c r="MP30" s="78"/>
      <c r="MQ30" s="79"/>
      <c r="MR30" s="79"/>
      <c r="MS30" s="80"/>
      <c r="MT30" s="81"/>
      <c r="MU30" s="82"/>
      <c r="MV30" s="83"/>
      <c r="MW30" s="78"/>
      <c r="MX30" s="79"/>
      <c r="MY30" s="79"/>
      <c r="MZ30" s="80"/>
      <c r="NA30" s="81"/>
      <c r="NB30" s="82"/>
      <c r="NC30" s="83"/>
      <c r="ND30" s="78"/>
      <c r="NE30" s="79"/>
      <c r="NF30" s="79"/>
      <c r="NG30" s="80"/>
      <c r="NH30" s="81"/>
      <c r="NI30" s="82"/>
      <c r="NJ30" s="83"/>
      <c r="NK30" s="78"/>
      <c r="NL30" s="79"/>
      <c r="NM30" s="79"/>
      <c r="NN30" s="80"/>
      <c r="NO30" s="81"/>
      <c r="NP30" s="82"/>
      <c r="NQ30" s="83"/>
    </row>
    <row r="31" spans="1:381" ht="15" customHeight="1" x14ac:dyDescent="0.15">
      <c r="A31" s="65">
        <v>26</v>
      </c>
      <c r="B31" s="76"/>
      <c r="C31" s="77"/>
      <c r="D31" s="78"/>
      <c r="E31" s="79"/>
      <c r="F31" s="79"/>
      <c r="G31" s="80"/>
      <c r="H31" s="81"/>
      <c r="I31" s="82"/>
      <c r="J31" s="83"/>
      <c r="K31" s="78"/>
      <c r="L31" s="79"/>
      <c r="M31" s="79"/>
      <c r="N31" s="80"/>
      <c r="O31" s="81"/>
      <c r="P31" s="82"/>
      <c r="Q31" s="83"/>
      <c r="R31" s="78"/>
      <c r="S31" s="79"/>
      <c r="T31" s="79"/>
      <c r="U31" s="80"/>
      <c r="V31" s="81"/>
      <c r="W31" s="82"/>
      <c r="X31" s="83"/>
      <c r="Y31" s="78"/>
      <c r="Z31" s="79"/>
      <c r="AA31" s="79"/>
      <c r="AB31" s="80"/>
      <c r="AC31" s="81"/>
      <c r="AD31" s="82"/>
      <c r="AE31" s="83"/>
      <c r="AF31" s="78"/>
      <c r="AG31" s="79"/>
      <c r="AH31" s="79"/>
      <c r="AI31" s="80"/>
      <c r="AJ31" s="81"/>
      <c r="AK31" s="82"/>
      <c r="AL31" s="83"/>
      <c r="AM31" s="78"/>
      <c r="AN31" s="79"/>
      <c r="AO31" s="79"/>
      <c r="AP31" s="80"/>
      <c r="AQ31" s="81"/>
      <c r="AR31" s="82"/>
      <c r="AS31" s="83"/>
      <c r="AT31" s="78"/>
      <c r="AU31" s="79"/>
      <c r="AV31" s="79"/>
      <c r="AW31" s="80"/>
      <c r="AX31" s="81"/>
      <c r="AY31" s="82"/>
      <c r="AZ31" s="83"/>
      <c r="BA31" s="78"/>
      <c r="BB31" s="79"/>
      <c r="BC31" s="79"/>
      <c r="BD31" s="80"/>
      <c r="BE31" s="81"/>
      <c r="BF31" s="82"/>
      <c r="BG31" s="83"/>
      <c r="BH31" s="78"/>
      <c r="BI31" s="79"/>
      <c r="BJ31" s="79"/>
      <c r="BK31" s="80"/>
      <c r="BL31" s="81"/>
      <c r="BM31" s="82"/>
      <c r="BN31" s="83"/>
      <c r="BO31" s="78"/>
      <c r="BP31" s="79"/>
      <c r="BQ31" s="79"/>
      <c r="BR31" s="80"/>
      <c r="BS31" s="81"/>
      <c r="BT31" s="82"/>
      <c r="BU31" s="83"/>
      <c r="BV31" s="78"/>
      <c r="BW31" s="79"/>
      <c r="BX31" s="79"/>
      <c r="BY31" s="80"/>
      <c r="BZ31" s="81"/>
      <c r="CA31" s="82"/>
      <c r="CB31" s="83"/>
      <c r="CC31" s="78"/>
      <c r="CD31" s="79"/>
      <c r="CE31" s="79"/>
      <c r="CF31" s="80"/>
      <c r="CG31" s="81"/>
      <c r="CH31" s="82"/>
      <c r="CI31" s="83"/>
      <c r="CJ31" s="78"/>
      <c r="CK31" s="79"/>
      <c r="CL31" s="79"/>
      <c r="CM31" s="80"/>
      <c r="CN31" s="81"/>
      <c r="CO31" s="82"/>
      <c r="CP31" s="83"/>
      <c r="CQ31" s="78"/>
      <c r="CR31" s="79"/>
      <c r="CS31" s="79"/>
      <c r="CT31" s="80"/>
      <c r="CU31" s="81"/>
      <c r="CV31" s="82"/>
      <c r="CW31" s="83"/>
      <c r="CX31" s="78"/>
      <c r="CY31" s="79"/>
      <c r="CZ31" s="79"/>
      <c r="DA31" s="80"/>
      <c r="DB31" s="81"/>
      <c r="DC31" s="82"/>
      <c r="DD31" s="83"/>
      <c r="DE31" s="78"/>
      <c r="DF31" s="79"/>
      <c r="DG31" s="79"/>
      <c r="DH31" s="80"/>
      <c r="DI31" s="81"/>
      <c r="DJ31" s="82"/>
      <c r="DK31" s="83"/>
      <c r="DL31" s="78"/>
      <c r="DM31" s="79"/>
      <c r="DN31" s="79"/>
      <c r="DO31" s="80"/>
      <c r="DP31" s="81"/>
      <c r="DQ31" s="82"/>
      <c r="DR31" s="83"/>
      <c r="DS31" s="78"/>
      <c r="DT31" s="79"/>
      <c r="DU31" s="79"/>
      <c r="DV31" s="80"/>
      <c r="DW31" s="81"/>
      <c r="DX31" s="82"/>
      <c r="DY31" s="83"/>
      <c r="DZ31" s="78"/>
      <c r="EA31" s="79"/>
      <c r="EB31" s="79"/>
      <c r="EC31" s="80"/>
      <c r="ED31" s="81"/>
      <c r="EE31" s="82"/>
      <c r="EF31" s="83"/>
      <c r="EG31" s="78"/>
      <c r="EH31" s="79"/>
      <c r="EI31" s="79"/>
      <c r="EJ31" s="80"/>
      <c r="EK31" s="81"/>
      <c r="EL31" s="82"/>
      <c r="EM31" s="83"/>
      <c r="EN31" s="78"/>
      <c r="EO31" s="79"/>
      <c r="EP31" s="79"/>
      <c r="EQ31" s="80"/>
      <c r="ER31" s="81"/>
      <c r="ES31" s="82"/>
      <c r="ET31" s="83"/>
      <c r="EU31" s="78"/>
      <c r="EV31" s="79"/>
      <c r="EW31" s="79"/>
      <c r="EX31" s="80"/>
      <c r="EY31" s="81"/>
      <c r="EZ31" s="82"/>
      <c r="FA31" s="83"/>
      <c r="FB31" s="78"/>
      <c r="FC31" s="79"/>
      <c r="FD31" s="79"/>
      <c r="FE31" s="80"/>
      <c r="FF31" s="81"/>
      <c r="FG31" s="82"/>
      <c r="FH31" s="83"/>
      <c r="FI31" s="78"/>
      <c r="FJ31" s="79"/>
      <c r="FK31" s="79"/>
      <c r="FL31" s="80"/>
      <c r="FM31" s="81"/>
      <c r="FN31" s="82"/>
      <c r="FO31" s="83"/>
      <c r="FP31" s="78"/>
      <c r="FQ31" s="79"/>
      <c r="FR31" s="79"/>
      <c r="FS31" s="80"/>
      <c r="FT31" s="81"/>
      <c r="FU31" s="82"/>
      <c r="FV31" s="83"/>
      <c r="FW31" s="78"/>
      <c r="FX31" s="79"/>
      <c r="FY31" s="79"/>
      <c r="FZ31" s="80"/>
      <c r="GA31" s="81"/>
      <c r="GB31" s="82"/>
      <c r="GC31" s="83"/>
      <c r="GD31" s="78"/>
      <c r="GE31" s="79"/>
      <c r="GF31" s="79"/>
      <c r="GG31" s="80"/>
      <c r="GH31" s="81"/>
      <c r="GI31" s="82"/>
      <c r="GJ31" s="83"/>
      <c r="GK31" s="78"/>
      <c r="GL31" s="79"/>
      <c r="GM31" s="79"/>
      <c r="GN31" s="80"/>
      <c r="GO31" s="81"/>
      <c r="GP31" s="82"/>
      <c r="GQ31" s="83"/>
      <c r="GR31" s="78"/>
      <c r="GS31" s="79"/>
      <c r="GT31" s="79"/>
      <c r="GU31" s="80"/>
      <c r="GV31" s="81"/>
      <c r="GW31" s="82"/>
      <c r="GX31" s="83"/>
      <c r="GY31" s="78"/>
      <c r="GZ31" s="79"/>
      <c r="HA31" s="79"/>
      <c r="HB31" s="80"/>
      <c r="HC31" s="81"/>
      <c r="HD31" s="82"/>
      <c r="HE31" s="83"/>
      <c r="HF31" s="78"/>
      <c r="HG31" s="79"/>
      <c r="HH31" s="79"/>
      <c r="HI31" s="80"/>
      <c r="HJ31" s="81"/>
      <c r="HK31" s="82"/>
      <c r="HL31" s="83"/>
      <c r="HM31" s="78"/>
      <c r="HN31" s="79"/>
      <c r="HO31" s="79"/>
      <c r="HP31" s="80"/>
      <c r="HQ31" s="81"/>
      <c r="HR31" s="82"/>
      <c r="HS31" s="83"/>
      <c r="HT31" s="78"/>
      <c r="HU31" s="79"/>
      <c r="HV31" s="79"/>
      <c r="HW31" s="80"/>
      <c r="HX31" s="81"/>
      <c r="HY31" s="82"/>
      <c r="HZ31" s="83"/>
      <c r="IA31" s="78"/>
      <c r="IB31" s="79"/>
      <c r="IC31" s="79"/>
      <c r="ID31" s="80"/>
      <c r="IE31" s="81"/>
      <c r="IF31" s="82"/>
      <c r="IG31" s="83"/>
      <c r="IH31" s="78"/>
      <c r="II31" s="79"/>
      <c r="IJ31" s="79"/>
      <c r="IK31" s="80"/>
      <c r="IL31" s="81"/>
      <c r="IM31" s="82"/>
      <c r="IN31" s="83"/>
      <c r="IO31" s="78"/>
      <c r="IP31" s="79"/>
      <c r="IQ31" s="79"/>
      <c r="IR31" s="80"/>
      <c r="IS31" s="81"/>
      <c r="IT31" s="82"/>
      <c r="IU31" s="83"/>
      <c r="IV31" s="78"/>
      <c r="IW31" s="79"/>
      <c r="IX31" s="79"/>
      <c r="IY31" s="80"/>
      <c r="IZ31" s="81"/>
      <c r="JA31" s="82"/>
      <c r="JB31" s="83"/>
      <c r="JC31" s="78"/>
      <c r="JD31" s="79"/>
      <c r="JE31" s="79"/>
      <c r="JF31" s="80"/>
      <c r="JG31" s="81"/>
      <c r="JH31" s="82"/>
      <c r="JI31" s="83"/>
      <c r="JJ31" s="78"/>
      <c r="JK31" s="79"/>
      <c r="JL31" s="79"/>
      <c r="JM31" s="80"/>
      <c r="JN31" s="81"/>
      <c r="JO31" s="82"/>
      <c r="JP31" s="83"/>
      <c r="JQ31" s="78"/>
      <c r="JR31" s="79"/>
      <c r="JS31" s="79"/>
      <c r="JT31" s="80"/>
      <c r="JU31" s="81"/>
      <c r="JV31" s="82"/>
      <c r="JW31" s="83"/>
      <c r="JX31" s="78"/>
      <c r="JY31" s="79"/>
      <c r="JZ31" s="79"/>
      <c r="KA31" s="80"/>
      <c r="KB31" s="81"/>
      <c r="KC31" s="82"/>
      <c r="KD31" s="83"/>
      <c r="KE31" s="78"/>
      <c r="KF31" s="79"/>
      <c r="KG31" s="79"/>
      <c r="KH31" s="80"/>
      <c r="KI31" s="81"/>
      <c r="KJ31" s="82"/>
      <c r="KK31" s="83"/>
      <c r="KL31" s="78"/>
      <c r="KM31" s="79"/>
      <c r="KN31" s="79"/>
      <c r="KO31" s="80"/>
      <c r="KP31" s="81"/>
      <c r="KQ31" s="82"/>
      <c r="KR31" s="83"/>
      <c r="KS31" s="78"/>
      <c r="KT31" s="79"/>
      <c r="KU31" s="79"/>
      <c r="KV31" s="80"/>
      <c r="KW31" s="81"/>
      <c r="KX31" s="82"/>
      <c r="KY31" s="83"/>
      <c r="KZ31" s="78"/>
      <c r="LA31" s="79"/>
      <c r="LB31" s="79"/>
      <c r="LC31" s="80"/>
      <c r="LD31" s="81"/>
      <c r="LE31" s="82"/>
      <c r="LF31" s="83"/>
      <c r="LG31" s="78"/>
      <c r="LH31" s="79"/>
      <c r="LI31" s="79"/>
      <c r="LJ31" s="80"/>
      <c r="LK31" s="81"/>
      <c r="LL31" s="82"/>
      <c r="LM31" s="83"/>
      <c r="LN31" s="78"/>
      <c r="LO31" s="79"/>
      <c r="LP31" s="79"/>
      <c r="LQ31" s="80"/>
      <c r="LR31" s="81"/>
      <c r="LS31" s="82"/>
      <c r="LT31" s="83"/>
      <c r="LU31" s="78"/>
      <c r="LV31" s="79"/>
      <c r="LW31" s="79"/>
      <c r="LX31" s="80"/>
      <c r="LY31" s="81"/>
      <c r="LZ31" s="82"/>
      <c r="MA31" s="83"/>
      <c r="MB31" s="78"/>
      <c r="MC31" s="79"/>
      <c r="MD31" s="79"/>
      <c r="ME31" s="80"/>
      <c r="MF31" s="81"/>
      <c r="MG31" s="82"/>
      <c r="MH31" s="83"/>
      <c r="MI31" s="78"/>
      <c r="MJ31" s="79"/>
      <c r="MK31" s="79"/>
      <c r="ML31" s="80"/>
      <c r="MM31" s="81"/>
      <c r="MN31" s="82"/>
      <c r="MO31" s="83"/>
      <c r="MP31" s="78"/>
      <c r="MQ31" s="79"/>
      <c r="MR31" s="79"/>
      <c r="MS31" s="80"/>
      <c r="MT31" s="81"/>
      <c r="MU31" s="82"/>
      <c r="MV31" s="83"/>
      <c r="MW31" s="78"/>
      <c r="MX31" s="79"/>
      <c r="MY31" s="79"/>
      <c r="MZ31" s="80"/>
      <c r="NA31" s="81"/>
      <c r="NB31" s="82"/>
      <c r="NC31" s="83"/>
      <c r="ND31" s="78"/>
      <c r="NE31" s="79"/>
      <c r="NF31" s="79"/>
      <c r="NG31" s="80"/>
      <c r="NH31" s="81"/>
      <c r="NI31" s="82"/>
      <c r="NJ31" s="83"/>
      <c r="NK31" s="78"/>
      <c r="NL31" s="79"/>
      <c r="NM31" s="79"/>
      <c r="NN31" s="80"/>
      <c r="NO31" s="81"/>
      <c r="NP31" s="82"/>
      <c r="NQ31" s="83"/>
    </row>
    <row r="32" spans="1:381" ht="15" customHeight="1" x14ac:dyDescent="0.15">
      <c r="A32" s="65">
        <v>27</v>
      </c>
      <c r="B32" s="76"/>
      <c r="C32" s="77">
        <v>0.5</v>
      </c>
      <c r="D32" s="78"/>
      <c r="E32" s="79"/>
      <c r="F32" s="79"/>
      <c r="G32" s="80"/>
      <c r="H32" s="81"/>
      <c r="I32" s="82"/>
      <c r="J32" s="83"/>
      <c r="K32" s="78"/>
      <c r="L32" s="79"/>
      <c r="M32" s="79"/>
      <c r="N32" s="80"/>
      <c r="O32" s="81"/>
      <c r="P32" s="82"/>
      <c r="Q32" s="83"/>
      <c r="R32" s="78"/>
      <c r="S32" s="79"/>
      <c r="T32" s="79"/>
      <c r="U32" s="80"/>
      <c r="V32" s="81"/>
      <c r="W32" s="82"/>
      <c r="X32" s="83"/>
      <c r="Y32" s="78"/>
      <c r="Z32" s="79"/>
      <c r="AA32" s="79"/>
      <c r="AB32" s="80"/>
      <c r="AC32" s="81"/>
      <c r="AD32" s="82"/>
      <c r="AE32" s="83"/>
      <c r="AF32" s="78"/>
      <c r="AG32" s="79"/>
      <c r="AH32" s="79"/>
      <c r="AI32" s="80"/>
      <c r="AJ32" s="81"/>
      <c r="AK32" s="82"/>
      <c r="AL32" s="83"/>
      <c r="AM32" s="78"/>
      <c r="AN32" s="79"/>
      <c r="AO32" s="79"/>
      <c r="AP32" s="80"/>
      <c r="AQ32" s="81"/>
      <c r="AR32" s="82"/>
      <c r="AS32" s="83"/>
      <c r="AT32" s="78"/>
      <c r="AU32" s="79"/>
      <c r="AV32" s="79"/>
      <c r="AW32" s="80"/>
      <c r="AX32" s="81"/>
      <c r="AY32" s="82"/>
      <c r="AZ32" s="83"/>
      <c r="BA32" s="78"/>
      <c r="BB32" s="79"/>
      <c r="BC32" s="79"/>
      <c r="BD32" s="80"/>
      <c r="BE32" s="81"/>
      <c r="BF32" s="82"/>
      <c r="BG32" s="83"/>
      <c r="BH32" s="78"/>
      <c r="BI32" s="79"/>
      <c r="BJ32" s="79"/>
      <c r="BK32" s="80"/>
      <c r="BL32" s="81"/>
      <c r="BM32" s="82"/>
      <c r="BN32" s="83"/>
      <c r="BO32" s="78"/>
      <c r="BP32" s="79"/>
      <c r="BQ32" s="79"/>
      <c r="BR32" s="80"/>
      <c r="BS32" s="81"/>
      <c r="BT32" s="82"/>
      <c r="BU32" s="83"/>
      <c r="BV32" s="78"/>
      <c r="BW32" s="79"/>
      <c r="BX32" s="79"/>
      <c r="BY32" s="80"/>
      <c r="BZ32" s="81"/>
      <c r="CA32" s="82"/>
      <c r="CB32" s="83"/>
      <c r="CC32" s="78"/>
      <c r="CD32" s="79"/>
      <c r="CE32" s="79"/>
      <c r="CF32" s="80"/>
      <c r="CG32" s="81"/>
      <c r="CH32" s="82"/>
      <c r="CI32" s="83"/>
      <c r="CJ32" s="78"/>
      <c r="CK32" s="79"/>
      <c r="CL32" s="79"/>
      <c r="CM32" s="80"/>
      <c r="CN32" s="81"/>
      <c r="CO32" s="82"/>
      <c r="CP32" s="83"/>
      <c r="CQ32" s="78"/>
      <c r="CR32" s="79"/>
      <c r="CS32" s="79"/>
      <c r="CT32" s="80"/>
      <c r="CU32" s="81"/>
      <c r="CV32" s="82"/>
      <c r="CW32" s="83"/>
      <c r="CX32" s="78"/>
      <c r="CY32" s="79"/>
      <c r="CZ32" s="79"/>
      <c r="DA32" s="80"/>
      <c r="DB32" s="81"/>
      <c r="DC32" s="82"/>
      <c r="DD32" s="83"/>
      <c r="DE32" s="78"/>
      <c r="DF32" s="79"/>
      <c r="DG32" s="79"/>
      <c r="DH32" s="80"/>
      <c r="DI32" s="81"/>
      <c r="DJ32" s="82"/>
      <c r="DK32" s="83"/>
      <c r="DL32" s="78"/>
      <c r="DM32" s="79"/>
      <c r="DN32" s="79"/>
      <c r="DO32" s="80"/>
      <c r="DP32" s="81"/>
      <c r="DQ32" s="82"/>
      <c r="DR32" s="83"/>
      <c r="DS32" s="78"/>
      <c r="DT32" s="79"/>
      <c r="DU32" s="79"/>
      <c r="DV32" s="80"/>
      <c r="DW32" s="81"/>
      <c r="DX32" s="82"/>
      <c r="DY32" s="83"/>
      <c r="DZ32" s="78"/>
      <c r="EA32" s="79"/>
      <c r="EB32" s="79"/>
      <c r="EC32" s="80"/>
      <c r="ED32" s="81"/>
      <c r="EE32" s="82"/>
      <c r="EF32" s="83"/>
      <c r="EG32" s="78"/>
      <c r="EH32" s="79"/>
      <c r="EI32" s="79"/>
      <c r="EJ32" s="80"/>
      <c r="EK32" s="81"/>
      <c r="EL32" s="82"/>
      <c r="EM32" s="83"/>
      <c r="EN32" s="78"/>
      <c r="EO32" s="79"/>
      <c r="EP32" s="79"/>
      <c r="EQ32" s="80"/>
      <c r="ER32" s="81"/>
      <c r="ES32" s="82"/>
      <c r="ET32" s="83"/>
      <c r="EU32" s="78"/>
      <c r="EV32" s="79"/>
      <c r="EW32" s="79"/>
      <c r="EX32" s="80"/>
      <c r="EY32" s="81"/>
      <c r="EZ32" s="82"/>
      <c r="FA32" s="83"/>
      <c r="FB32" s="78"/>
      <c r="FC32" s="79"/>
      <c r="FD32" s="79"/>
      <c r="FE32" s="80"/>
      <c r="FF32" s="81"/>
      <c r="FG32" s="82"/>
      <c r="FH32" s="83"/>
      <c r="FI32" s="78"/>
      <c r="FJ32" s="79"/>
      <c r="FK32" s="79"/>
      <c r="FL32" s="80"/>
      <c r="FM32" s="81"/>
      <c r="FN32" s="82"/>
      <c r="FO32" s="83"/>
      <c r="FP32" s="78"/>
      <c r="FQ32" s="79"/>
      <c r="FR32" s="79"/>
      <c r="FS32" s="80"/>
      <c r="FT32" s="81"/>
      <c r="FU32" s="82"/>
      <c r="FV32" s="83"/>
      <c r="FW32" s="78"/>
      <c r="FX32" s="79"/>
      <c r="FY32" s="79"/>
      <c r="FZ32" s="80"/>
      <c r="GA32" s="81"/>
      <c r="GB32" s="82"/>
      <c r="GC32" s="83"/>
      <c r="GD32" s="78"/>
      <c r="GE32" s="79"/>
      <c r="GF32" s="79"/>
      <c r="GG32" s="80"/>
      <c r="GH32" s="81"/>
      <c r="GI32" s="82"/>
      <c r="GJ32" s="83"/>
      <c r="GK32" s="78"/>
      <c r="GL32" s="79"/>
      <c r="GM32" s="79"/>
      <c r="GN32" s="80"/>
      <c r="GO32" s="81"/>
      <c r="GP32" s="82"/>
      <c r="GQ32" s="83"/>
      <c r="GR32" s="78"/>
      <c r="GS32" s="79"/>
      <c r="GT32" s="79"/>
      <c r="GU32" s="80"/>
      <c r="GV32" s="81"/>
      <c r="GW32" s="82"/>
      <c r="GX32" s="83"/>
      <c r="GY32" s="78"/>
      <c r="GZ32" s="79"/>
      <c r="HA32" s="79"/>
      <c r="HB32" s="80"/>
      <c r="HC32" s="81"/>
      <c r="HD32" s="82"/>
      <c r="HE32" s="83"/>
      <c r="HF32" s="78"/>
      <c r="HG32" s="79"/>
      <c r="HH32" s="79"/>
      <c r="HI32" s="80"/>
      <c r="HJ32" s="81"/>
      <c r="HK32" s="82"/>
      <c r="HL32" s="83"/>
      <c r="HM32" s="78"/>
      <c r="HN32" s="79"/>
      <c r="HO32" s="79"/>
      <c r="HP32" s="80"/>
      <c r="HQ32" s="81"/>
      <c r="HR32" s="82"/>
      <c r="HS32" s="83"/>
      <c r="HT32" s="78"/>
      <c r="HU32" s="79"/>
      <c r="HV32" s="79"/>
      <c r="HW32" s="80"/>
      <c r="HX32" s="81"/>
      <c r="HY32" s="82"/>
      <c r="HZ32" s="83"/>
      <c r="IA32" s="78"/>
      <c r="IB32" s="79"/>
      <c r="IC32" s="79"/>
      <c r="ID32" s="80"/>
      <c r="IE32" s="81"/>
      <c r="IF32" s="82"/>
      <c r="IG32" s="83"/>
      <c r="IH32" s="78"/>
      <c r="II32" s="79"/>
      <c r="IJ32" s="79"/>
      <c r="IK32" s="80"/>
      <c r="IL32" s="81"/>
      <c r="IM32" s="82"/>
      <c r="IN32" s="83"/>
      <c r="IO32" s="78"/>
      <c r="IP32" s="79"/>
      <c r="IQ32" s="79"/>
      <c r="IR32" s="80"/>
      <c r="IS32" s="81"/>
      <c r="IT32" s="82"/>
      <c r="IU32" s="83"/>
      <c r="IV32" s="78"/>
      <c r="IW32" s="79"/>
      <c r="IX32" s="79"/>
      <c r="IY32" s="80"/>
      <c r="IZ32" s="81"/>
      <c r="JA32" s="82"/>
      <c r="JB32" s="83"/>
      <c r="JC32" s="78"/>
      <c r="JD32" s="79"/>
      <c r="JE32" s="79"/>
      <c r="JF32" s="80"/>
      <c r="JG32" s="81"/>
      <c r="JH32" s="82"/>
      <c r="JI32" s="83"/>
      <c r="JJ32" s="78"/>
      <c r="JK32" s="79"/>
      <c r="JL32" s="79"/>
      <c r="JM32" s="80"/>
      <c r="JN32" s="81"/>
      <c r="JO32" s="82"/>
      <c r="JP32" s="83"/>
      <c r="JQ32" s="78"/>
      <c r="JR32" s="79"/>
      <c r="JS32" s="79"/>
      <c r="JT32" s="80"/>
      <c r="JU32" s="81"/>
      <c r="JV32" s="82"/>
      <c r="JW32" s="83"/>
      <c r="JX32" s="78"/>
      <c r="JY32" s="79"/>
      <c r="JZ32" s="79"/>
      <c r="KA32" s="80"/>
      <c r="KB32" s="81"/>
      <c r="KC32" s="82"/>
      <c r="KD32" s="83"/>
      <c r="KE32" s="78"/>
      <c r="KF32" s="79"/>
      <c r="KG32" s="79"/>
      <c r="KH32" s="80"/>
      <c r="KI32" s="81"/>
      <c r="KJ32" s="82"/>
      <c r="KK32" s="83"/>
      <c r="KL32" s="78"/>
      <c r="KM32" s="79"/>
      <c r="KN32" s="79"/>
      <c r="KO32" s="80"/>
      <c r="KP32" s="81"/>
      <c r="KQ32" s="82"/>
      <c r="KR32" s="83"/>
      <c r="KS32" s="78"/>
      <c r="KT32" s="79"/>
      <c r="KU32" s="79"/>
      <c r="KV32" s="80"/>
      <c r="KW32" s="81"/>
      <c r="KX32" s="82"/>
      <c r="KY32" s="83"/>
      <c r="KZ32" s="78"/>
      <c r="LA32" s="79"/>
      <c r="LB32" s="79"/>
      <c r="LC32" s="80"/>
      <c r="LD32" s="81"/>
      <c r="LE32" s="82"/>
      <c r="LF32" s="83"/>
      <c r="LG32" s="78"/>
      <c r="LH32" s="79"/>
      <c r="LI32" s="79"/>
      <c r="LJ32" s="80"/>
      <c r="LK32" s="81"/>
      <c r="LL32" s="82"/>
      <c r="LM32" s="83"/>
      <c r="LN32" s="78"/>
      <c r="LO32" s="79"/>
      <c r="LP32" s="79"/>
      <c r="LQ32" s="80"/>
      <c r="LR32" s="81"/>
      <c r="LS32" s="82"/>
      <c r="LT32" s="83"/>
      <c r="LU32" s="78"/>
      <c r="LV32" s="79"/>
      <c r="LW32" s="79"/>
      <c r="LX32" s="80"/>
      <c r="LY32" s="81"/>
      <c r="LZ32" s="82"/>
      <c r="MA32" s="83"/>
      <c r="MB32" s="78"/>
      <c r="MC32" s="79"/>
      <c r="MD32" s="79"/>
      <c r="ME32" s="80"/>
      <c r="MF32" s="81"/>
      <c r="MG32" s="82"/>
      <c r="MH32" s="83"/>
      <c r="MI32" s="78"/>
      <c r="MJ32" s="79"/>
      <c r="MK32" s="79"/>
      <c r="ML32" s="80"/>
      <c r="MM32" s="81"/>
      <c r="MN32" s="82"/>
      <c r="MO32" s="83"/>
      <c r="MP32" s="78"/>
      <c r="MQ32" s="79"/>
      <c r="MR32" s="79"/>
      <c r="MS32" s="80"/>
      <c r="MT32" s="81"/>
      <c r="MU32" s="82"/>
      <c r="MV32" s="83"/>
      <c r="MW32" s="78"/>
      <c r="MX32" s="79"/>
      <c r="MY32" s="79"/>
      <c r="MZ32" s="80"/>
      <c r="NA32" s="81"/>
      <c r="NB32" s="82"/>
      <c r="NC32" s="83"/>
      <c r="ND32" s="78"/>
      <c r="NE32" s="79"/>
      <c r="NF32" s="79"/>
      <c r="NG32" s="80"/>
      <c r="NH32" s="81"/>
      <c r="NI32" s="82"/>
      <c r="NJ32" s="83"/>
      <c r="NK32" s="78"/>
      <c r="NL32" s="79"/>
      <c r="NM32" s="79"/>
      <c r="NN32" s="80"/>
      <c r="NO32" s="81"/>
      <c r="NP32" s="82"/>
      <c r="NQ32" s="83"/>
    </row>
    <row r="33" spans="1:381" ht="15" customHeight="1" x14ac:dyDescent="0.15">
      <c r="A33" s="65">
        <v>28</v>
      </c>
      <c r="B33" s="76"/>
      <c r="C33" s="77"/>
      <c r="D33" s="78"/>
      <c r="E33" s="79"/>
      <c r="F33" s="79"/>
      <c r="G33" s="80"/>
      <c r="H33" s="81"/>
      <c r="I33" s="82"/>
      <c r="J33" s="83"/>
      <c r="K33" s="78"/>
      <c r="L33" s="79"/>
      <c r="M33" s="79"/>
      <c r="N33" s="80"/>
      <c r="O33" s="81"/>
      <c r="P33" s="82"/>
      <c r="Q33" s="83"/>
      <c r="R33" s="78"/>
      <c r="S33" s="79"/>
      <c r="T33" s="79"/>
      <c r="U33" s="80"/>
      <c r="V33" s="81"/>
      <c r="W33" s="82"/>
      <c r="X33" s="83"/>
      <c r="Y33" s="78"/>
      <c r="Z33" s="79"/>
      <c r="AA33" s="79"/>
      <c r="AB33" s="80"/>
      <c r="AC33" s="81"/>
      <c r="AD33" s="82"/>
      <c r="AE33" s="83"/>
      <c r="AF33" s="78"/>
      <c r="AG33" s="79"/>
      <c r="AH33" s="79"/>
      <c r="AI33" s="80"/>
      <c r="AJ33" s="81"/>
      <c r="AK33" s="82"/>
      <c r="AL33" s="83"/>
      <c r="AM33" s="78"/>
      <c r="AN33" s="79"/>
      <c r="AO33" s="79"/>
      <c r="AP33" s="80"/>
      <c r="AQ33" s="81"/>
      <c r="AR33" s="82"/>
      <c r="AS33" s="83"/>
      <c r="AT33" s="78"/>
      <c r="AU33" s="79"/>
      <c r="AV33" s="79"/>
      <c r="AW33" s="80"/>
      <c r="AX33" s="81"/>
      <c r="AY33" s="82"/>
      <c r="AZ33" s="83"/>
      <c r="BA33" s="78"/>
      <c r="BB33" s="79"/>
      <c r="BC33" s="79"/>
      <c r="BD33" s="80"/>
      <c r="BE33" s="81"/>
      <c r="BF33" s="82"/>
      <c r="BG33" s="83"/>
      <c r="BH33" s="78"/>
      <c r="BI33" s="79"/>
      <c r="BJ33" s="79"/>
      <c r="BK33" s="80"/>
      <c r="BL33" s="81"/>
      <c r="BM33" s="82"/>
      <c r="BN33" s="83"/>
      <c r="BO33" s="78"/>
      <c r="BP33" s="79"/>
      <c r="BQ33" s="79"/>
      <c r="BR33" s="80"/>
      <c r="BS33" s="81"/>
      <c r="BT33" s="82"/>
      <c r="BU33" s="83"/>
      <c r="BV33" s="78"/>
      <c r="BW33" s="79"/>
      <c r="BX33" s="79"/>
      <c r="BY33" s="80"/>
      <c r="BZ33" s="81"/>
      <c r="CA33" s="82"/>
      <c r="CB33" s="83"/>
      <c r="CC33" s="78"/>
      <c r="CD33" s="79"/>
      <c r="CE33" s="79"/>
      <c r="CF33" s="80"/>
      <c r="CG33" s="81"/>
      <c r="CH33" s="82"/>
      <c r="CI33" s="83"/>
      <c r="CJ33" s="78"/>
      <c r="CK33" s="79"/>
      <c r="CL33" s="79"/>
      <c r="CM33" s="80"/>
      <c r="CN33" s="81"/>
      <c r="CO33" s="82"/>
      <c r="CP33" s="83"/>
      <c r="CQ33" s="78"/>
      <c r="CR33" s="79"/>
      <c r="CS33" s="79"/>
      <c r="CT33" s="80"/>
      <c r="CU33" s="81"/>
      <c r="CV33" s="82"/>
      <c r="CW33" s="83"/>
      <c r="CX33" s="78"/>
      <c r="CY33" s="79"/>
      <c r="CZ33" s="79"/>
      <c r="DA33" s="80"/>
      <c r="DB33" s="81"/>
      <c r="DC33" s="82"/>
      <c r="DD33" s="83"/>
      <c r="DE33" s="78"/>
      <c r="DF33" s="79"/>
      <c r="DG33" s="79"/>
      <c r="DH33" s="80"/>
      <c r="DI33" s="81"/>
      <c r="DJ33" s="82"/>
      <c r="DK33" s="83"/>
      <c r="DL33" s="78"/>
      <c r="DM33" s="79"/>
      <c r="DN33" s="79"/>
      <c r="DO33" s="80"/>
      <c r="DP33" s="81"/>
      <c r="DQ33" s="82"/>
      <c r="DR33" s="83"/>
      <c r="DS33" s="78"/>
      <c r="DT33" s="79"/>
      <c r="DU33" s="79"/>
      <c r="DV33" s="80"/>
      <c r="DW33" s="81"/>
      <c r="DX33" s="82"/>
      <c r="DY33" s="83"/>
      <c r="DZ33" s="78"/>
      <c r="EA33" s="79"/>
      <c r="EB33" s="79"/>
      <c r="EC33" s="80"/>
      <c r="ED33" s="81"/>
      <c r="EE33" s="82"/>
      <c r="EF33" s="83"/>
      <c r="EG33" s="78"/>
      <c r="EH33" s="79"/>
      <c r="EI33" s="79"/>
      <c r="EJ33" s="80"/>
      <c r="EK33" s="81"/>
      <c r="EL33" s="82"/>
      <c r="EM33" s="83"/>
      <c r="EN33" s="78"/>
      <c r="EO33" s="79"/>
      <c r="EP33" s="79"/>
      <c r="EQ33" s="80"/>
      <c r="ER33" s="81"/>
      <c r="ES33" s="82"/>
      <c r="ET33" s="83"/>
      <c r="EU33" s="78"/>
      <c r="EV33" s="79"/>
      <c r="EW33" s="79"/>
      <c r="EX33" s="80"/>
      <c r="EY33" s="81"/>
      <c r="EZ33" s="82"/>
      <c r="FA33" s="83"/>
      <c r="FB33" s="78"/>
      <c r="FC33" s="79"/>
      <c r="FD33" s="79"/>
      <c r="FE33" s="80"/>
      <c r="FF33" s="81"/>
      <c r="FG33" s="82"/>
      <c r="FH33" s="83"/>
      <c r="FI33" s="78"/>
      <c r="FJ33" s="79"/>
      <c r="FK33" s="79"/>
      <c r="FL33" s="80"/>
      <c r="FM33" s="81"/>
      <c r="FN33" s="82"/>
      <c r="FO33" s="83"/>
      <c r="FP33" s="78"/>
      <c r="FQ33" s="79"/>
      <c r="FR33" s="79"/>
      <c r="FS33" s="80"/>
      <c r="FT33" s="81"/>
      <c r="FU33" s="82"/>
      <c r="FV33" s="83"/>
      <c r="FW33" s="78"/>
      <c r="FX33" s="79"/>
      <c r="FY33" s="79"/>
      <c r="FZ33" s="80"/>
      <c r="GA33" s="81"/>
      <c r="GB33" s="82"/>
      <c r="GC33" s="83"/>
      <c r="GD33" s="78"/>
      <c r="GE33" s="79"/>
      <c r="GF33" s="79"/>
      <c r="GG33" s="80"/>
      <c r="GH33" s="81"/>
      <c r="GI33" s="82"/>
      <c r="GJ33" s="83"/>
      <c r="GK33" s="78"/>
      <c r="GL33" s="79"/>
      <c r="GM33" s="79"/>
      <c r="GN33" s="80"/>
      <c r="GO33" s="81"/>
      <c r="GP33" s="82"/>
      <c r="GQ33" s="83"/>
      <c r="GR33" s="78"/>
      <c r="GS33" s="79"/>
      <c r="GT33" s="79"/>
      <c r="GU33" s="80"/>
      <c r="GV33" s="81"/>
      <c r="GW33" s="82"/>
      <c r="GX33" s="83"/>
      <c r="GY33" s="78"/>
      <c r="GZ33" s="79"/>
      <c r="HA33" s="79"/>
      <c r="HB33" s="80"/>
      <c r="HC33" s="81"/>
      <c r="HD33" s="82"/>
      <c r="HE33" s="83"/>
      <c r="HF33" s="78"/>
      <c r="HG33" s="79"/>
      <c r="HH33" s="79"/>
      <c r="HI33" s="80"/>
      <c r="HJ33" s="81"/>
      <c r="HK33" s="82"/>
      <c r="HL33" s="83"/>
      <c r="HM33" s="78"/>
      <c r="HN33" s="79"/>
      <c r="HO33" s="79"/>
      <c r="HP33" s="80"/>
      <c r="HQ33" s="81"/>
      <c r="HR33" s="82"/>
      <c r="HS33" s="83"/>
      <c r="HT33" s="78"/>
      <c r="HU33" s="79"/>
      <c r="HV33" s="79"/>
      <c r="HW33" s="80"/>
      <c r="HX33" s="81"/>
      <c r="HY33" s="82"/>
      <c r="HZ33" s="83"/>
      <c r="IA33" s="78"/>
      <c r="IB33" s="79"/>
      <c r="IC33" s="79"/>
      <c r="ID33" s="80"/>
      <c r="IE33" s="81"/>
      <c r="IF33" s="82"/>
      <c r="IG33" s="83"/>
      <c r="IH33" s="78"/>
      <c r="II33" s="79"/>
      <c r="IJ33" s="79"/>
      <c r="IK33" s="80"/>
      <c r="IL33" s="81"/>
      <c r="IM33" s="82"/>
      <c r="IN33" s="83"/>
      <c r="IO33" s="78"/>
      <c r="IP33" s="79"/>
      <c r="IQ33" s="79"/>
      <c r="IR33" s="80"/>
      <c r="IS33" s="81"/>
      <c r="IT33" s="82"/>
      <c r="IU33" s="83"/>
      <c r="IV33" s="78"/>
      <c r="IW33" s="79"/>
      <c r="IX33" s="79"/>
      <c r="IY33" s="80"/>
      <c r="IZ33" s="81"/>
      <c r="JA33" s="82"/>
      <c r="JB33" s="83"/>
      <c r="JC33" s="78"/>
      <c r="JD33" s="79"/>
      <c r="JE33" s="79"/>
      <c r="JF33" s="80"/>
      <c r="JG33" s="81"/>
      <c r="JH33" s="82"/>
      <c r="JI33" s="83"/>
      <c r="JJ33" s="78"/>
      <c r="JK33" s="79"/>
      <c r="JL33" s="79"/>
      <c r="JM33" s="80"/>
      <c r="JN33" s="81"/>
      <c r="JO33" s="82"/>
      <c r="JP33" s="83"/>
      <c r="JQ33" s="78"/>
      <c r="JR33" s="79"/>
      <c r="JS33" s="79"/>
      <c r="JT33" s="80"/>
      <c r="JU33" s="81"/>
      <c r="JV33" s="82"/>
      <c r="JW33" s="83"/>
      <c r="JX33" s="78"/>
      <c r="JY33" s="79"/>
      <c r="JZ33" s="79"/>
      <c r="KA33" s="80"/>
      <c r="KB33" s="81"/>
      <c r="KC33" s="82"/>
      <c r="KD33" s="83"/>
      <c r="KE33" s="78"/>
      <c r="KF33" s="79"/>
      <c r="KG33" s="79"/>
      <c r="KH33" s="80"/>
      <c r="KI33" s="81"/>
      <c r="KJ33" s="82"/>
      <c r="KK33" s="83"/>
      <c r="KL33" s="78"/>
      <c r="KM33" s="79"/>
      <c r="KN33" s="79"/>
      <c r="KO33" s="80"/>
      <c r="KP33" s="81"/>
      <c r="KQ33" s="82"/>
      <c r="KR33" s="83"/>
      <c r="KS33" s="78"/>
      <c r="KT33" s="79"/>
      <c r="KU33" s="79"/>
      <c r="KV33" s="80"/>
      <c r="KW33" s="81"/>
      <c r="KX33" s="82"/>
      <c r="KY33" s="83"/>
      <c r="KZ33" s="78"/>
      <c r="LA33" s="79"/>
      <c r="LB33" s="79"/>
      <c r="LC33" s="80"/>
      <c r="LD33" s="81"/>
      <c r="LE33" s="82"/>
      <c r="LF33" s="83"/>
      <c r="LG33" s="78"/>
      <c r="LH33" s="79"/>
      <c r="LI33" s="79"/>
      <c r="LJ33" s="80"/>
      <c r="LK33" s="81"/>
      <c r="LL33" s="82"/>
      <c r="LM33" s="83"/>
      <c r="LN33" s="78"/>
      <c r="LO33" s="79"/>
      <c r="LP33" s="79"/>
      <c r="LQ33" s="80"/>
      <c r="LR33" s="81"/>
      <c r="LS33" s="82"/>
      <c r="LT33" s="83"/>
      <c r="LU33" s="78"/>
      <c r="LV33" s="79"/>
      <c r="LW33" s="79"/>
      <c r="LX33" s="80"/>
      <c r="LY33" s="81"/>
      <c r="LZ33" s="82"/>
      <c r="MA33" s="83"/>
      <c r="MB33" s="78"/>
      <c r="MC33" s="79"/>
      <c r="MD33" s="79"/>
      <c r="ME33" s="80"/>
      <c r="MF33" s="81"/>
      <c r="MG33" s="82"/>
      <c r="MH33" s="83"/>
      <c r="MI33" s="78"/>
      <c r="MJ33" s="79"/>
      <c r="MK33" s="79"/>
      <c r="ML33" s="80"/>
      <c r="MM33" s="81"/>
      <c r="MN33" s="82"/>
      <c r="MO33" s="83"/>
      <c r="MP33" s="78"/>
      <c r="MQ33" s="79"/>
      <c r="MR33" s="79"/>
      <c r="MS33" s="80"/>
      <c r="MT33" s="81"/>
      <c r="MU33" s="82"/>
      <c r="MV33" s="83"/>
      <c r="MW33" s="78"/>
      <c r="MX33" s="79"/>
      <c r="MY33" s="79"/>
      <c r="MZ33" s="80"/>
      <c r="NA33" s="81"/>
      <c r="NB33" s="82"/>
      <c r="NC33" s="83"/>
      <c r="ND33" s="78"/>
      <c r="NE33" s="79"/>
      <c r="NF33" s="79"/>
      <c r="NG33" s="80"/>
      <c r="NH33" s="81"/>
      <c r="NI33" s="82"/>
      <c r="NJ33" s="83"/>
      <c r="NK33" s="78"/>
      <c r="NL33" s="79"/>
      <c r="NM33" s="79"/>
      <c r="NN33" s="80"/>
      <c r="NO33" s="81"/>
      <c r="NP33" s="82"/>
      <c r="NQ33" s="83"/>
    </row>
    <row r="34" spans="1:381" ht="15" customHeight="1" x14ac:dyDescent="0.15">
      <c r="A34" s="65">
        <v>29</v>
      </c>
      <c r="B34" s="76"/>
      <c r="C34" s="77">
        <v>0.54166666666666596</v>
      </c>
      <c r="D34" s="78"/>
      <c r="E34" s="79"/>
      <c r="F34" s="79"/>
      <c r="G34" s="80"/>
      <c r="H34" s="81"/>
      <c r="I34" s="82"/>
      <c r="J34" s="83"/>
      <c r="K34" s="78"/>
      <c r="L34" s="79"/>
      <c r="M34" s="79"/>
      <c r="N34" s="80"/>
      <c r="O34" s="81"/>
      <c r="P34" s="82"/>
      <c r="Q34" s="83"/>
      <c r="R34" s="78"/>
      <c r="S34" s="79"/>
      <c r="T34" s="79"/>
      <c r="U34" s="80"/>
      <c r="V34" s="81"/>
      <c r="W34" s="82"/>
      <c r="X34" s="83"/>
      <c r="Y34" s="78"/>
      <c r="Z34" s="79"/>
      <c r="AA34" s="79"/>
      <c r="AB34" s="80"/>
      <c r="AC34" s="81"/>
      <c r="AD34" s="82"/>
      <c r="AE34" s="83"/>
      <c r="AF34" s="78"/>
      <c r="AG34" s="79"/>
      <c r="AH34" s="79"/>
      <c r="AI34" s="80"/>
      <c r="AJ34" s="81"/>
      <c r="AK34" s="82"/>
      <c r="AL34" s="83"/>
      <c r="AM34" s="78"/>
      <c r="AN34" s="79"/>
      <c r="AO34" s="79"/>
      <c r="AP34" s="80"/>
      <c r="AQ34" s="81"/>
      <c r="AR34" s="82"/>
      <c r="AS34" s="83"/>
      <c r="AT34" s="78"/>
      <c r="AU34" s="79"/>
      <c r="AV34" s="79"/>
      <c r="AW34" s="80"/>
      <c r="AX34" s="81"/>
      <c r="AY34" s="82"/>
      <c r="AZ34" s="83"/>
      <c r="BA34" s="78"/>
      <c r="BB34" s="79"/>
      <c r="BC34" s="79"/>
      <c r="BD34" s="80"/>
      <c r="BE34" s="81"/>
      <c r="BF34" s="82"/>
      <c r="BG34" s="83"/>
      <c r="BH34" s="78"/>
      <c r="BI34" s="79"/>
      <c r="BJ34" s="79"/>
      <c r="BK34" s="80"/>
      <c r="BL34" s="81"/>
      <c r="BM34" s="82"/>
      <c r="BN34" s="83"/>
      <c r="BO34" s="78"/>
      <c r="BP34" s="79"/>
      <c r="BQ34" s="79"/>
      <c r="BR34" s="80"/>
      <c r="BS34" s="81"/>
      <c r="BT34" s="82"/>
      <c r="BU34" s="83"/>
      <c r="BV34" s="78"/>
      <c r="BW34" s="79"/>
      <c r="BX34" s="79"/>
      <c r="BY34" s="80"/>
      <c r="BZ34" s="81"/>
      <c r="CA34" s="82"/>
      <c r="CB34" s="83"/>
      <c r="CC34" s="78"/>
      <c r="CD34" s="79"/>
      <c r="CE34" s="79"/>
      <c r="CF34" s="80"/>
      <c r="CG34" s="81"/>
      <c r="CH34" s="82"/>
      <c r="CI34" s="83"/>
      <c r="CJ34" s="78"/>
      <c r="CK34" s="79"/>
      <c r="CL34" s="79"/>
      <c r="CM34" s="80"/>
      <c r="CN34" s="81"/>
      <c r="CO34" s="82"/>
      <c r="CP34" s="83"/>
      <c r="CQ34" s="78"/>
      <c r="CR34" s="79"/>
      <c r="CS34" s="79"/>
      <c r="CT34" s="80"/>
      <c r="CU34" s="81"/>
      <c r="CV34" s="82"/>
      <c r="CW34" s="83"/>
      <c r="CX34" s="78"/>
      <c r="CY34" s="79"/>
      <c r="CZ34" s="79"/>
      <c r="DA34" s="80"/>
      <c r="DB34" s="81"/>
      <c r="DC34" s="82"/>
      <c r="DD34" s="83"/>
      <c r="DE34" s="78"/>
      <c r="DF34" s="79"/>
      <c r="DG34" s="79"/>
      <c r="DH34" s="80"/>
      <c r="DI34" s="81"/>
      <c r="DJ34" s="82"/>
      <c r="DK34" s="83"/>
      <c r="DL34" s="78"/>
      <c r="DM34" s="79"/>
      <c r="DN34" s="79"/>
      <c r="DO34" s="80"/>
      <c r="DP34" s="81"/>
      <c r="DQ34" s="82"/>
      <c r="DR34" s="83"/>
      <c r="DS34" s="78"/>
      <c r="DT34" s="79"/>
      <c r="DU34" s="79"/>
      <c r="DV34" s="80"/>
      <c r="DW34" s="81"/>
      <c r="DX34" s="82"/>
      <c r="DY34" s="83"/>
      <c r="DZ34" s="78"/>
      <c r="EA34" s="79"/>
      <c r="EB34" s="79"/>
      <c r="EC34" s="80"/>
      <c r="ED34" s="81"/>
      <c r="EE34" s="82"/>
      <c r="EF34" s="83"/>
      <c r="EG34" s="78"/>
      <c r="EH34" s="79"/>
      <c r="EI34" s="79"/>
      <c r="EJ34" s="80"/>
      <c r="EK34" s="81"/>
      <c r="EL34" s="82"/>
      <c r="EM34" s="83"/>
      <c r="EN34" s="78"/>
      <c r="EO34" s="79"/>
      <c r="EP34" s="79"/>
      <c r="EQ34" s="80"/>
      <c r="ER34" s="81"/>
      <c r="ES34" s="82"/>
      <c r="ET34" s="83"/>
      <c r="EU34" s="78"/>
      <c r="EV34" s="79"/>
      <c r="EW34" s="79"/>
      <c r="EX34" s="80"/>
      <c r="EY34" s="81"/>
      <c r="EZ34" s="82"/>
      <c r="FA34" s="83"/>
      <c r="FB34" s="78"/>
      <c r="FC34" s="79"/>
      <c r="FD34" s="79"/>
      <c r="FE34" s="80"/>
      <c r="FF34" s="81"/>
      <c r="FG34" s="82"/>
      <c r="FH34" s="83"/>
      <c r="FI34" s="78"/>
      <c r="FJ34" s="79"/>
      <c r="FK34" s="79"/>
      <c r="FL34" s="80"/>
      <c r="FM34" s="81"/>
      <c r="FN34" s="82"/>
      <c r="FO34" s="83"/>
      <c r="FP34" s="78"/>
      <c r="FQ34" s="79"/>
      <c r="FR34" s="79"/>
      <c r="FS34" s="80"/>
      <c r="FT34" s="81"/>
      <c r="FU34" s="82"/>
      <c r="FV34" s="83"/>
      <c r="FW34" s="78"/>
      <c r="FX34" s="79"/>
      <c r="FY34" s="79"/>
      <c r="FZ34" s="80"/>
      <c r="GA34" s="81"/>
      <c r="GB34" s="82"/>
      <c r="GC34" s="83"/>
      <c r="GD34" s="78"/>
      <c r="GE34" s="79"/>
      <c r="GF34" s="79"/>
      <c r="GG34" s="80"/>
      <c r="GH34" s="81"/>
      <c r="GI34" s="82"/>
      <c r="GJ34" s="83"/>
      <c r="GK34" s="78"/>
      <c r="GL34" s="79"/>
      <c r="GM34" s="79"/>
      <c r="GN34" s="80"/>
      <c r="GO34" s="81"/>
      <c r="GP34" s="82"/>
      <c r="GQ34" s="83"/>
      <c r="GR34" s="78"/>
      <c r="GS34" s="79"/>
      <c r="GT34" s="79"/>
      <c r="GU34" s="80"/>
      <c r="GV34" s="81"/>
      <c r="GW34" s="82"/>
      <c r="GX34" s="83"/>
      <c r="GY34" s="78"/>
      <c r="GZ34" s="79"/>
      <c r="HA34" s="79"/>
      <c r="HB34" s="80"/>
      <c r="HC34" s="81"/>
      <c r="HD34" s="82"/>
      <c r="HE34" s="83"/>
      <c r="HF34" s="78"/>
      <c r="HG34" s="79"/>
      <c r="HH34" s="79"/>
      <c r="HI34" s="80"/>
      <c r="HJ34" s="81"/>
      <c r="HK34" s="82"/>
      <c r="HL34" s="83"/>
      <c r="HM34" s="78"/>
      <c r="HN34" s="79"/>
      <c r="HO34" s="79"/>
      <c r="HP34" s="80"/>
      <c r="HQ34" s="81"/>
      <c r="HR34" s="82"/>
      <c r="HS34" s="83"/>
      <c r="HT34" s="78"/>
      <c r="HU34" s="79"/>
      <c r="HV34" s="79"/>
      <c r="HW34" s="80"/>
      <c r="HX34" s="81"/>
      <c r="HY34" s="82"/>
      <c r="HZ34" s="83"/>
      <c r="IA34" s="78"/>
      <c r="IB34" s="79"/>
      <c r="IC34" s="79"/>
      <c r="ID34" s="80"/>
      <c r="IE34" s="81"/>
      <c r="IF34" s="82"/>
      <c r="IG34" s="83"/>
      <c r="IH34" s="78"/>
      <c r="II34" s="79"/>
      <c r="IJ34" s="79"/>
      <c r="IK34" s="80"/>
      <c r="IL34" s="81"/>
      <c r="IM34" s="82"/>
      <c r="IN34" s="83"/>
      <c r="IO34" s="78"/>
      <c r="IP34" s="79"/>
      <c r="IQ34" s="79"/>
      <c r="IR34" s="80"/>
      <c r="IS34" s="81"/>
      <c r="IT34" s="82"/>
      <c r="IU34" s="83"/>
      <c r="IV34" s="78"/>
      <c r="IW34" s="79"/>
      <c r="IX34" s="79"/>
      <c r="IY34" s="80"/>
      <c r="IZ34" s="81"/>
      <c r="JA34" s="82"/>
      <c r="JB34" s="83"/>
      <c r="JC34" s="78"/>
      <c r="JD34" s="79"/>
      <c r="JE34" s="79"/>
      <c r="JF34" s="80"/>
      <c r="JG34" s="81"/>
      <c r="JH34" s="82"/>
      <c r="JI34" s="83"/>
      <c r="JJ34" s="78"/>
      <c r="JK34" s="79"/>
      <c r="JL34" s="79"/>
      <c r="JM34" s="80"/>
      <c r="JN34" s="81"/>
      <c r="JO34" s="82"/>
      <c r="JP34" s="83"/>
      <c r="JQ34" s="78"/>
      <c r="JR34" s="79"/>
      <c r="JS34" s="79"/>
      <c r="JT34" s="80"/>
      <c r="JU34" s="81"/>
      <c r="JV34" s="82"/>
      <c r="JW34" s="83"/>
      <c r="JX34" s="78"/>
      <c r="JY34" s="79"/>
      <c r="JZ34" s="79"/>
      <c r="KA34" s="80"/>
      <c r="KB34" s="81"/>
      <c r="KC34" s="82"/>
      <c r="KD34" s="83"/>
      <c r="KE34" s="78"/>
      <c r="KF34" s="79"/>
      <c r="KG34" s="79"/>
      <c r="KH34" s="80"/>
      <c r="KI34" s="81"/>
      <c r="KJ34" s="82"/>
      <c r="KK34" s="83"/>
      <c r="KL34" s="78"/>
      <c r="KM34" s="79"/>
      <c r="KN34" s="79"/>
      <c r="KO34" s="80"/>
      <c r="KP34" s="81"/>
      <c r="KQ34" s="82"/>
      <c r="KR34" s="83"/>
      <c r="KS34" s="78"/>
      <c r="KT34" s="79"/>
      <c r="KU34" s="79"/>
      <c r="KV34" s="80"/>
      <c r="KW34" s="81"/>
      <c r="KX34" s="82"/>
      <c r="KY34" s="83"/>
      <c r="KZ34" s="78"/>
      <c r="LA34" s="79"/>
      <c r="LB34" s="79"/>
      <c r="LC34" s="80"/>
      <c r="LD34" s="81"/>
      <c r="LE34" s="82"/>
      <c r="LF34" s="83"/>
      <c r="LG34" s="78"/>
      <c r="LH34" s="79"/>
      <c r="LI34" s="79"/>
      <c r="LJ34" s="80"/>
      <c r="LK34" s="81"/>
      <c r="LL34" s="82"/>
      <c r="LM34" s="83"/>
      <c r="LN34" s="78"/>
      <c r="LO34" s="79"/>
      <c r="LP34" s="79"/>
      <c r="LQ34" s="80"/>
      <c r="LR34" s="81"/>
      <c r="LS34" s="82"/>
      <c r="LT34" s="83"/>
      <c r="LU34" s="78"/>
      <c r="LV34" s="79"/>
      <c r="LW34" s="79"/>
      <c r="LX34" s="80"/>
      <c r="LY34" s="81"/>
      <c r="LZ34" s="82"/>
      <c r="MA34" s="83"/>
      <c r="MB34" s="78"/>
      <c r="MC34" s="79"/>
      <c r="MD34" s="79"/>
      <c r="ME34" s="80"/>
      <c r="MF34" s="81"/>
      <c r="MG34" s="82"/>
      <c r="MH34" s="83"/>
      <c r="MI34" s="78"/>
      <c r="MJ34" s="79"/>
      <c r="MK34" s="79"/>
      <c r="ML34" s="80"/>
      <c r="MM34" s="81"/>
      <c r="MN34" s="82"/>
      <c r="MO34" s="83"/>
      <c r="MP34" s="78"/>
      <c r="MQ34" s="79"/>
      <c r="MR34" s="79"/>
      <c r="MS34" s="80"/>
      <c r="MT34" s="81"/>
      <c r="MU34" s="82"/>
      <c r="MV34" s="83"/>
      <c r="MW34" s="78"/>
      <c r="MX34" s="79"/>
      <c r="MY34" s="79"/>
      <c r="MZ34" s="80"/>
      <c r="NA34" s="81"/>
      <c r="NB34" s="82"/>
      <c r="NC34" s="83"/>
      <c r="ND34" s="78"/>
      <c r="NE34" s="79"/>
      <c r="NF34" s="79"/>
      <c r="NG34" s="80"/>
      <c r="NH34" s="81"/>
      <c r="NI34" s="82"/>
      <c r="NJ34" s="83"/>
      <c r="NK34" s="78"/>
      <c r="NL34" s="79"/>
      <c r="NM34" s="79"/>
      <c r="NN34" s="80"/>
      <c r="NO34" s="81"/>
      <c r="NP34" s="82"/>
      <c r="NQ34" s="83"/>
    </row>
    <row r="35" spans="1:381" ht="15" customHeight="1" x14ac:dyDescent="0.15">
      <c r="A35" s="65">
        <v>30</v>
      </c>
      <c r="B35" s="76"/>
      <c r="C35" s="77"/>
      <c r="D35" s="78"/>
      <c r="E35" s="79"/>
      <c r="F35" s="79"/>
      <c r="G35" s="80"/>
      <c r="H35" s="81"/>
      <c r="I35" s="82"/>
      <c r="J35" s="83"/>
      <c r="K35" s="78"/>
      <c r="L35" s="79"/>
      <c r="M35" s="79"/>
      <c r="N35" s="80"/>
      <c r="O35" s="81"/>
      <c r="P35" s="82"/>
      <c r="Q35" s="83"/>
      <c r="R35" s="78"/>
      <c r="S35" s="79"/>
      <c r="T35" s="79"/>
      <c r="U35" s="80"/>
      <c r="V35" s="81"/>
      <c r="W35" s="82"/>
      <c r="X35" s="83"/>
      <c r="Y35" s="78"/>
      <c r="Z35" s="79"/>
      <c r="AA35" s="79"/>
      <c r="AB35" s="80"/>
      <c r="AC35" s="81"/>
      <c r="AD35" s="82"/>
      <c r="AE35" s="83"/>
      <c r="AF35" s="78"/>
      <c r="AG35" s="79"/>
      <c r="AH35" s="79"/>
      <c r="AI35" s="80"/>
      <c r="AJ35" s="81"/>
      <c r="AK35" s="82"/>
      <c r="AL35" s="83"/>
      <c r="AM35" s="78"/>
      <c r="AN35" s="79"/>
      <c r="AO35" s="79"/>
      <c r="AP35" s="80"/>
      <c r="AQ35" s="81"/>
      <c r="AR35" s="82"/>
      <c r="AS35" s="83"/>
      <c r="AT35" s="78"/>
      <c r="AU35" s="79"/>
      <c r="AV35" s="79"/>
      <c r="AW35" s="80"/>
      <c r="AX35" s="81"/>
      <c r="AY35" s="82"/>
      <c r="AZ35" s="83"/>
      <c r="BA35" s="78"/>
      <c r="BB35" s="79"/>
      <c r="BC35" s="79"/>
      <c r="BD35" s="80"/>
      <c r="BE35" s="81"/>
      <c r="BF35" s="82"/>
      <c r="BG35" s="83"/>
      <c r="BH35" s="78"/>
      <c r="BI35" s="79"/>
      <c r="BJ35" s="79"/>
      <c r="BK35" s="80"/>
      <c r="BL35" s="81"/>
      <c r="BM35" s="82"/>
      <c r="BN35" s="83"/>
      <c r="BO35" s="78"/>
      <c r="BP35" s="79"/>
      <c r="BQ35" s="79"/>
      <c r="BR35" s="80"/>
      <c r="BS35" s="81"/>
      <c r="BT35" s="82"/>
      <c r="BU35" s="83"/>
      <c r="BV35" s="78"/>
      <c r="BW35" s="79"/>
      <c r="BX35" s="79"/>
      <c r="BY35" s="80"/>
      <c r="BZ35" s="81"/>
      <c r="CA35" s="82"/>
      <c r="CB35" s="83"/>
      <c r="CC35" s="78"/>
      <c r="CD35" s="79"/>
      <c r="CE35" s="79"/>
      <c r="CF35" s="80"/>
      <c r="CG35" s="81"/>
      <c r="CH35" s="82"/>
      <c r="CI35" s="83"/>
      <c r="CJ35" s="78"/>
      <c r="CK35" s="79"/>
      <c r="CL35" s="79"/>
      <c r="CM35" s="80"/>
      <c r="CN35" s="81"/>
      <c r="CO35" s="82"/>
      <c r="CP35" s="83"/>
      <c r="CQ35" s="78"/>
      <c r="CR35" s="79"/>
      <c r="CS35" s="79"/>
      <c r="CT35" s="80"/>
      <c r="CU35" s="81"/>
      <c r="CV35" s="82"/>
      <c r="CW35" s="83"/>
      <c r="CX35" s="78"/>
      <c r="CY35" s="79"/>
      <c r="CZ35" s="79"/>
      <c r="DA35" s="80"/>
      <c r="DB35" s="81"/>
      <c r="DC35" s="82"/>
      <c r="DD35" s="83"/>
      <c r="DE35" s="78"/>
      <c r="DF35" s="79"/>
      <c r="DG35" s="79"/>
      <c r="DH35" s="80"/>
      <c r="DI35" s="81"/>
      <c r="DJ35" s="82"/>
      <c r="DK35" s="83"/>
      <c r="DL35" s="78"/>
      <c r="DM35" s="79"/>
      <c r="DN35" s="79"/>
      <c r="DO35" s="80"/>
      <c r="DP35" s="81"/>
      <c r="DQ35" s="82"/>
      <c r="DR35" s="83"/>
      <c r="DS35" s="78"/>
      <c r="DT35" s="79"/>
      <c r="DU35" s="79"/>
      <c r="DV35" s="80"/>
      <c r="DW35" s="81"/>
      <c r="DX35" s="82"/>
      <c r="DY35" s="83"/>
      <c r="DZ35" s="78"/>
      <c r="EA35" s="79"/>
      <c r="EB35" s="79"/>
      <c r="EC35" s="80"/>
      <c r="ED35" s="81"/>
      <c r="EE35" s="82"/>
      <c r="EF35" s="83"/>
      <c r="EG35" s="78"/>
      <c r="EH35" s="79"/>
      <c r="EI35" s="79"/>
      <c r="EJ35" s="80"/>
      <c r="EK35" s="81"/>
      <c r="EL35" s="82"/>
      <c r="EM35" s="83"/>
      <c r="EN35" s="78"/>
      <c r="EO35" s="79"/>
      <c r="EP35" s="79"/>
      <c r="EQ35" s="80"/>
      <c r="ER35" s="81"/>
      <c r="ES35" s="82"/>
      <c r="ET35" s="83"/>
      <c r="EU35" s="78"/>
      <c r="EV35" s="79"/>
      <c r="EW35" s="79"/>
      <c r="EX35" s="80"/>
      <c r="EY35" s="81"/>
      <c r="EZ35" s="82"/>
      <c r="FA35" s="83"/>
      <c r="FB35" s="78"/>
      <c r="FC35" s="79"/>
      <c r="FD35" s="79"/>
      <c r="FE35" s="80"/>
      <c r="FF35" s="81"/>
      <c r="FG35" s="82"/>
      <c r="FH35" s="83"/>
      <c r="FI35" s="78"/>
      <c r="FJ35" s="79"/>
      <c r="FK35" s="79"/>
      <c r="FL35" s="80"/>
      <c r="FM35" s="81"/>
      <c r="FN35" s="82"/>
      <c r="FO35" s="83"/>
      <c r="FP35" s="78"/>
      <c r="FQ35" s="79"/>
      <c r="FR35" s="79"/>
      <c r="FS35" s="80"/>
      <c r="FT35" s="81"/>
      <c r="FU35" s="82"/>
      <c r="FV35" s="83"/>
      <c r="FW35" s="78"/>
      <c r="FX35" s="79"/>
      <c r="FY35" s="79"/>
      <c r="FZ35" s="80"/>
      <c r="GA35" s="81"/>
      <c r="GB35" s="82"/>
      <c r="GC35" s="83"/>
      <c r="GD35" s="78"/>
      <c r="GE35" s="79"/>
      <c r="GF35" s="79"/>
      <c r="GG35" s="80"/>
      <c r="GH35" s="81"/>
      <c r="GI35" s="82"/>
      <c r="GJ35" s="83"/>
      <c r="GK35" s="78"/>
      <c r="GL35" s="79"/>
      <c r="GM35" s="79"/>
      <c r="GN35" s="80"/>
      <c r="GO35" s="81"/>
      <c r="GP35" s="82"/>
      <c r="GQ35" s="83"/>
      <c r="GR35" s="78"/>
      <c r="GS35" s="79"/>
      <c r="GT35" s="79"/>
      <c r="GU35" s="80"/>
      <c r="GV35" s="81"/>
      <c r="GW35" s="82"/>
      <c r="GX35" s="83"/>
      <c r="GY35" s="78"/>
      <c r="GZ35" s="79"/>
      <c r="HA35" s="79"/>
      <c r="HB35" s="80"/>
      <c r="HC35" s="81"/>
      <c r="HD35" s="82"/>
      <c r="HE35" s="83"/>
      <c r="HF35" s="78"/>
      <c r="HG35" s="79"/>
      <c r="HH35" s="79"/>
      <c r="HI35" s="80"/>
      <c r="HJ35" s="81"/>
      <c r="HK35" s="82"/>
      <c r="HL35" s="83"/>
      <c r="HM35" s="78"/>
      <c r="HN35" s="79"/>
      <c r="HO35" s="79"/>
      <c r="HP35" s="80"/>
      <c r="HQ35" s="81"/>
      <c r="HR35" s="82"/>
      <c r="HS35" s="83"/>
      <c r="HT35" s="78"/>
      <c r="HU35" s="79"/>
      <c r="HV35" s="79"/>
      <c r="HW35" s="80"/>
      <c r="HX35" s="81"/>
      <c r="HY35" s="82"/>
      <c r="HZ35" s="83"/>
      <c r="IA35" s="78"/>
      <c r="IB35" s="79"/>
      <c r="IC35" s="79"/>
      <c r="ID35" s="80"/>
      <c r="IE35" s="81"/>
      <c r="IF35" s="82"/>
      <c r="IG35" s="83"/>
      <c r="IH35" s="78"/>
      <c r="II35" s="79"/>
      <c r="IJ35" s="79"/>
      <c r="IK35" s="80"/>
      <c r="IL35" s="81"/>
      <c r="IM35" s="82"/>
      <c r="IN35" s="83"/>
      <c r="IO35" s="78"/>
      <c r="IP35" s="79"/>
      <c r="IQ35" s="79"/>
      <c r="IR35" s="80"/>
      <c r="IS35" s="81"/>
      <c r="IT35" s="82"/>
      <c r="IU35" s="83"/>
      <c r="IV35" s="78"/>
      <c r="IW35" s="79"/>
      <c r="IX35" s="79"/>
      <c r="IY35" s="80"/>
      <c r="IZ35" s="81"/>
      <c r="JA35" s="82"/>
      <c r="JB35" s="83"/>
      <c r="JC35" s="78"/>
      <c r="JD35" s="79"/>
      <c r="JE35" s="79"/>
      <c r="JF35" s="80"/>
      <c r="JG35" s="81"/>
      <c r="JH35" s="82"/>
      <c r="JI35" s="83"/>
      <c r="JJ35" s="78"/>
      <c r="JK35" s="79"/>
      <c r="JL35" s="79"/>
      <c r="JM35" s="80"/>
      <c r="JN35" s="81"/>
      <c r="JO35" s="82"/>
      <c r="JP35" s="83"/>
      <c r="JQ35" s="78"/>
      <c r="JR35" s="79"/>
      <c r="JS35" s="79"/>
      <c r="JT35" s="80"/>
      <c r="JU35" s="81"/>
      <c r="JV35" s="82"/>
      <c r="JW35" s="83"/>
      <c r="JX35" s="78"/>
      <c r="JY35" s="79"/>
      <c r="JZ35" s="79"/>
      <c r="KA35" s="80"/>
      <c r="KB35" s="81"/>
      <c r="KC35" s="82"/>
      <c r="KD35" s="83"/>
      <c r="KE35" s="78"/>
      <c r="KF35" s="79"/>
      <c r="KG35" s="79"/>
      <c r="KH35" s="80"/>
      <c r="KI35" s="81"/>
      <c r="KJ35" s="82"/>
      <c r="KK35" s="83"/>
      <c r="KL35" s="78"/>
      <c r="KM35" s="79"/>
      <c r="KN35" s="79"/>
      <c r="KO35" s="80"/>
      <c r="KP35" s="81"/>
      <c r="KQ35" s="82"/>
      <c r="KR35" s="83"/>
      <c r="KS35" s="78"/>
      <c r="KT35" s="79"/>
      <c r="KU35" s="79"/>
      <c r="KV35" s="80"/>
      <c r="KW35" s="81"/>
      <c r="KX35" s="82"/>
      <c r="KY35" s="83"/>
      <c r="KZ35" s="78"/>
      <c r="LA35" s="79"/>
      <c r="LB35" s="79"/>
      <c r="LC35" s="80"/>
      <c r="LD35" s="81"/>
      <c r="LE35" s="82"/>
      <c r="LF35" s="83"/>
      <c r="LG35" s="78"/>
      <c r="LH35" s="79"/>
      <c r="LI35" s="79"/>
      <c r="LJ35" s="80"/>
      <c r="LK35" s="81"/>
      <c r="LL35" s="82"/>
      <c r="LM35" s="83"/>
      <c r="LN35" s="78"/>
      <c r="LO35" s="79"/>
      <c r="LP35" s="79"/>
      <c r="LQ35" s="80"/>
      <c r="LR35" s="81"/>
      <c r="LS35" s="82"/>
      <c r="LT35" s="83"/>
      <c r="LU35" s="78"/>
      <c r="LV35" s="79"/>
      <c r="LW35" s="79"/>
      <c r="LX35" s="80"/>
      <c r="LY35" s="81"/>
      <c r="LZ35" s="82"/>
      <c r="MA35" s="83"/>
      <c r="MB35" s="78"/>
      <c r="MC35" s="79"/>
      <c r="MD35" s="79"/>
      <c r="ME35" s="80"/>
      <c r="MF35" s="81"/>
      <c r="MG35" s="82"/>
      <c r="MH35" s="83"/>
      <c r="MI35" s="78"/>
      <c r="MJ35" s="79"/>
      <c r="MK35" s="79"/>
      <c r="ML35" s="80"/>
      <c r="MM35" s="81"/>
      <c r="MN35" s="82"/>
      <c r="MO35" s="83"/>
      <c r="MP35" s="78"/>
      <c r="MQ35" s="79"/>
      <c r="MR35" s="79"/>
      <c r="MS35" s="80"/>
      <c r="MT35" s="81"/>
      <c r="MU35" s="82"/>
      <c r="MV35" s="83"/>
      <c r="MW35" s="78"/>
      <c r="MX35" s="79"/>
      <c r="MY35" s="79"/>
      <c r="MZ35" s="80"/>
      <c r="NA35" s="81"/>
      <c r="NB35" s="82"/>
      <c r="NC35" s="83"/>
      <c r="ND35" s="78"/>
      <c r="NE35" s="79"/>
      <c r="NF35" s="79"/>
      <c r="NG35" s="80"/>
      <c r="NH35" s="81"/>
      <c r="NI35" s="82"/>
      <c r="NJ35" s="83"/>
      <c r="NK35" s="78"/>
      <c r="NL35" s="79"/>
      <c r="NM35" s="79"/>
      <c r="NN35" s="80"/>
      <c r="NO35" s="81"/>
      <c r="NP35" s="82"/>
      <c r="NQ35" s="83"/>
    </row>
    <row r="36" spans="1:381" ht="15" customHeight="1" x14ac:dyDescent="0.15">
      <c r="A36" s="65">
        <v>31</v>
      </c>
      <c r="B36" s="76"/>
      <c r="C36" s="77">
        <v>0.58333333333333304</v>
      </c>
      <c r="D36" s="78"/>
      <c r="E36" s="79"/>
      <c r="F36" s="79"/>
      <c r="G36" s="80"/>
      <c r="H36" s="81"/>
      <c r="I36" s="82"/>
      <c r="J36" s="83"/>
      <c r="K36" s="78"/>
      <c r="L36" s="79"/>
      <c r="M36" s="79"/>
      <c r="N36" s="80"/>
      <c r="O36" s="81"/>
      <c r="P36" s="82"/>
      <c r="Q36" s="83"/>
      <c r="R36" s="78"/>
      <c r="S36" s="79"/>
      <c r="T36" s="79"/>
      <c r="U36" s="80"/>
      <c r="V36" s="81"/>
      <c r="W36" s="82"/>
      <c r="X36" s="83"/>
      <c r="Y36" s="78"/>
      <c r="Z36" s="79"/>
      <c r="AA36" s="79"/>
      <c r="AB36" s="80"/>
      <c r="AC36" s="81"/>
      <c r="AD36" s="82"/>
      <c r="AE36" s="83"/>
      <c r="AF36" s="78"/>
      <c r="AG36" s="79"/>
      <c r="AH36" s="79"/>
      <c r="AI36" s="80"/>
      <c r="AJ36" s="81"/>
      <c r="AK36" s="82"/>
      <c r="AL36" s="83"/>
      <c r="AM36" s="78"/>
      <c r="AN36" s="79"/>
      <c r="AO36" s="79"/>
      <c r="AP36" s="80"/>
      <c r="AQ36" s="81"/>
      <c r="AR36" s="82"/>
      <c r="AS36" s="83"/>
      <c r="AT36" s="78"/>
      <c r="AU36" s="79"/>
      <c r="AV36" s="79"/>
      <c r="AW36" s="80"/>
      <c r="AX36" s="81"/>
      <c r="AY36" s="82"/>
      <c r="AZ36" s="83"/>
      <c r="BA36" s="78"/>
      <c r="BB36" s="79"/>
      <c r="BC36" s="79"/>
      <c r="BD36" s="80"/>
      <c r="BE36" s="81"/>
      <c r="BF36" s="82"/>
      <c r="BG36" s="83"/>
      <c r="BH36" s="78"/>
      <c r="BI36" s="79"/>
      <c r="BJ36" s="79"/>
      <c r="BK36" s="80"/>
      <c r="BL36" s="81"/>
      <c r="BM36" s="82"/>
      <c r="BN36" s="83"/>
      <c r="BO36" s="78"/>
      <c r="BP36" s="79"/>
      <c r="BQ36" s="79"/>
      <c r="BR36" s="80"/>
      <c r="BS36" s="81"/>
      <c r="BT36" s="82"/>
      <c r="BU36" s="83"/>
      <c r="BV36" s="78"/>
      <c r="BW36" s="79"/>
      <c r="BX36" s="79"/>
      <c r="BY36" s="80"/>
      <c r="BZ36" s="81"/>
      <c r="CA36" s="82"/>
      <c r="CB36" s="83"/>
      <c r="CC36" s="78"/>
      <c r="CD36" s="79"/>
      <c r="CE36" s="79"/>
      <c r="CF36" s="80"/>
      <c r="CG36" s="81"/>
      <c r="CH36" s="82"/>
      <c r="CI36" s="83"/>
      <c r="CJ36" s="78"/>
      <c r="CK36" s="79"/>
      <c r="CL36" s="79"/>
      <c r="CM36" s="80"/>
      <c r="CN36" s="81"/>
      <c r="CO36" s="82"/>
      <c r="CP36" s="83"/>
      <c r="CQ36" s="78"/>
      <c r="CR36" s="79"/>
      <c r="CS36" s="79"/>
      <c r="CT36" s="80"/>
      <c r="CU36" s="81"/>
      <c r="CV36" s="82"/>
      <c r="CW36" s="83"/>
      <c r="CX36" s="78"/>
      <c r="CY36" s="79"/>
      <c r="CZ36" s="79"/>
      <c r="DA36" s="80"/>
      <c r="DB36" s="81"/>
      <c r="DC36" s="82"/>
      <c r="DD36" s="83"/>
      <c r="DE36" s="78"/>
      <c r="DF36" s="79"/>
      <c r="DG36" s="79"/>
      <c r="DH36" s="80"/>
      <c r="DI36" s="81"/>
      <c r="DJ36" s="82"/>
      <c r="DK36" s="83"/>
      <c r="DL36" s="78"/>
      <c r="DM36" s="79"/>
      <c r="DN36" s="79"/>
      <c r="DO36" s="80"/>
      <c r="DP36" s="81"/>
      <c r="DQ36" s="82"/>
      <c r="DR36" s="83"/>
      <c r="DS36" s="78"/>
      <c r="DT36" s="79"/>
      <c r="DU36" s="79"/>
      <c r="DV36" s="80"/>
      <c r="DW36" s="81"/>
      <c r="DX36" s="82"/>
      <c r="DY36" s="83"/>
      <c r="DZ36" s="78"/>
      <c r="EA36" s="79"/>
      <c r="EB36" s="79"/>
      <c r="EC36" s="80"/>
      <c r="ED36" s="81"/>
      <c r="EE36" s="82"/>
      <c r="EF36" s="83"/>
      <c r="EG36" s="78"/>
      <c r="EH36" s="79"/>
      <c r="EI36" s="79"/>
      <c r="EJ36" s="80"/>
      <c r="EK36" s="81"/>
      <c r="EL36" s="82"/>
      <c r="EM36" s="83"/>
      <c r="EN36" s="78"/>
      <c r="EO36" s="79"/>
      <c r="EP36" s="79"/>
      <c r="EQ36" s="80"/>
      <c r="ER36" s="81"/>
      <c r="ES36" s="82"/>
      <c r="ET36" s="83"/>
      <c r="EU36" s="78"/>
      <c r="EV36" s="79"/>
      <c r="EW36" s="79"/>
      <c r="EX36" s="80"/>
      <c r="EY36" s="81"/>
      <c r="EZ36" s="82"/>
      <c r="FA36" s="83"/>
      <c r="FB36" s="78"/>
      <c r="FC36" s="79"/>
      <c r="FD36" s="79"/>
      <c r="FE36" s="80"/>
      <c r="FF36" s="81"/>
      <c r="FG36" s="82"/>
      <c r="FH36" s="83"/>
      <c r="FI36" s="78"/>
      <c r="FJ36" s="79"/>
      <c r="FK36" s="79"/>
      <c r="FL36" s="80"/>
      <c r="FM36" s="81"/>
      <c r="FN36" s="82"/>
      <c r="FO36" s="83"/>
      <c r="FP36" s="78"/>
      <c r="FQ36" s="79"/>
      <c r="FR36" s="79"/>
      <c r="FS36" s="80"/>
      <c r="FT36" s="81"/>
      <c r="FU36" s="82"/>
      <c r="FV36" s="83"/>
      <c r="FW36" s="78"/>
      <c r="FX36" s="79"/>
      <c r="FY36" s="79"/>
      <c r="FZ36" s="80"/>
      <c r="GA36" s="81"/>
      <c r="GB36" s="82"/>
      <c r="GC36" s="83"/>
      <c r="GD36" s="78"/>
      <c r="GE36" s="79"/>
      <c r="GF36" s="79"/>
      <c r="GG36" s="80"/>
      <c r="GH36" s="81"/>
      <c r="GI36" s="82"/>
      <c r="GJ36" s="83"/>
      <c r="GK36" s="78"/>
      <c r="GL36" s="79"/>
      <c r="GM36" s="79"/>
      <c r="GN36" s="80"/>
      <c r="GO36" s="81"/>
      <c r="GP36" s="82"/>
      <c r="GQ36" s="83"/>
      <c r="GR36" s="78"/>
      <c r="GS36" s="79"/>
      <c r="GT36" s="79"/>
      <c r="GU36" s="80"/>
      <c r="GV36" s="81"/>
      <c r="GW36" s="82"/>
      <c r="GX36" s="83"/>
      <c r="GY36" s="78"/>
      <c r="GZ36" s="79"/>
      <c r="HA36" s="79"/>
      <c r="HB36" s="80"/>
      <c r="HC36" s="81"/>
      <c r="HD36" s="82"/>
      <c r="HE36" s="83"/>
      <c r="HF36" s="78"/>
      <c r="HG36" s="79"/>
      <c r="HH36" s="79"/>
      <c r="HI36" s="80"/>
      <c r="HJ36" s="81"/>
      <c r="HK36" s="82"/>
      <c r="HL36" s="83"/>
      <c r="HM36" s="78"/>
      <c r="HN36" s="79"/>
      <c r="HO36" s="79"/>
      <c r="HP36" s="80"/>
      <c r="HQ36" s="81"/>
      <c r="HR36" s="82"/>
      <c r="HS36" s="83"/>
      <c r="HT36" s="78"/>
      <c r="HU36" s="79"/>
      <c r="HV36" s="79"/>
      <c r="HW36" s="80"/>
      <c r="HX36" s="81"/>
      <c r="HY36" s="82"/>
      <c r="HZ36" s="83"/>
      <c r="IA36" s="78"/>
      <c r="IB36" s="79"/>
      <c r="IC36" s="79"/>
      <c r="ID36" s="80"/>
      <c r="IE36" s="81"/>
      <c r="IF36" s="82"/>
      <c r="IG36" s="83"/>
      <c r="IH36" s="78"/>
      <c r="II36" s="79"/>
      <c r="IJ36" s="79"/>
      <c r="IK36" s="80"/>
      <c r="IL36" s="81"/>
      <c r="IM36" s="82"/>
      <c r="IN36" s="83"/>
      <c r="IO36" s="78"/>
      <c r="IP36" s="79"/>
      <c r="IQ36" s="79"/>
      <c r="IR36" s="80"/>
      <c r="IS36" s="81"/>
      <c r="IT36" s="82"/>
      <c r="IU36" s="83"/>
      <c r="IV36" s="78"/>
      <c r="IW36" s="79"/>
      <c r="IX36" s="79"/>
      <c r="IY36" s="80"/>
      <c r="IZ36" s="81"/>
      <c r="JA36" s="82"/>
      <c r="JB36" s="83"/>
      <c r="JC36" s="78"/>
      <c r="JD36" s="79"/>
      <c r="JE36" s="79"/>
      <c r="JF36" s="80"/>
      <c r="JG36" s="81"/>
      <c r="JH36" s="82"/>
      <c r="JI36" s="83"/>
      <c r="JJ36" s="78"/>
      <c r="JK36" s="79"/>
      <c r="JL36" s="79"/>
      <c r="JM36" s="80"/>
      <c r="JN36" s="81"/>
      <c r="JO36" s="82"/>
      <c r="JP36" s="83"/>
      <c r="JQ36" s="78"/>
      <c r="JR36" s="79"/>
      <c r="JS36" s="79"/>
      <c r="JT36" s="80"/>
      <c r="JU36" s="81"/>
      <c r="JV36" s="82"/>
      <c r="JW36" s="83"/>
      <c r="JX36" s="78"/>
      <c r="JY36" s="79"/>
      <c r="JZ36" s="79"/>
      <c r="KA36" s="80"/>
      <c r="KB36" s="81"/>
      <c r="KC36" s="82"/>
      <c r="KD36" s="83"/>
      <c r="KE36" s="78"/>
      <c r="KF36" s="79"/>
      <c r="KG36" s="79"/>
      <c r="KH36" s="80"/>
      <c r="KI36" s="81"/>
      <c r="KJ36" s="82"/>
      <c r="KK36" s="83"/>
      <c r="KL36" s="78"/>
      <c r="KM36" s="79"/>
      <c r="KN36" s="79"/>
      <c r="KO36" s="80"/>
      <c r="KP36" s="81"/>
      <c r="KQ36" s="82"/>
      <c r="KR36" s="83"/>
      <c r="KS36" s="78"/>
      <c r="KT36" s="79"/>
      <c r="KU36" s="79"/>
      <c r="KV36" s="80"/>
      <c r="KW36" s="81"/>
      <c r="KX36" s="82"/>
      <c r="KY36" s="83"/>
      <c r="KZ36" s="78"/>
      <c r="LA36" s="79"/>
      <c r="LB36" s="79"/>
      <c r="LC36" s="80"/>
      <c r="LD36" s="81"/>
      <c r="LE36" s="82"/>
      <c r="LF36" s="83"/>
      <c r="LG36" s="78"/>
      <c r="LH36" s="79"/>
      <c r="LI36" s="79"/>
      <c r="LJ36" s="80"/>
      <c r="LK36" s="81"/>
      <c r="LL36" s="82"/>
      <c r="LM36" s="83"/>
      <c r="LN36" s="78"/>
      <c r="LO36" s="79"/>
      <c r="LP36" s="79"/>
      <c r="LQ36" s="80"/>
      <c r="LR36" s="81"/>
      <c r="LS36" s="82"/>
      <c r="LT36" s="83"/>
      <c r="LU36" s="78"/>
      <c r="LV36" s="79"/>
      <c r="LW36" s="79"/>
      <c r="LX36" s="80"/>
      <c r="LY36" s="81"/>
      <c r="LZ36" s="82"/>
      <c r="MA36" s="83"/>
      <c r="MB36" s="78"/>
      <c r="MC36" s="79"/>
      <c r="MD36" s="79"/>
      <c r="ME36" s="80"/>
      <c r="MF36" s="81"/>
      <c r="MG36" s="82"/>
      <c r="MH36" s="83"/>
      <c r="MI36" s="78"/>
      <c r="MJ36" s="79"/>
      <c r="MK36" s="79"/>
      <c r="ML36" s="80"/>
      <c r="MM36" s="81"/>
      <c r="MN36" s="82"/>
      <c r="MO36" s="83"/>
      <c r="MP36" s="78"/>
      <c r="MQ36" s="79"/>
      <c r="MR36" s="79"/>
      <c r="MS36" s="80"/>
      <c r="MT36" s="81"/>
      <c r="MU36" s="82"/>
      <c r="MV36" s="83"/>
      <c r="MW36" s="78"/>
      <c r="MX36" s="79"/>
      <c r="MY36" s="79"/>
      <c r="MZ36" s="80"/>
      <c r="NA36" s="81"/>
      <c r="NB36" s="82"/>
      <c r="NC36" s="83"/>
      <c r="ND36" s="78"/>
      <c r="NE36" s="79"/>
      <c r="NF36" s="79"/>
      <c r="NG36" s="80"/>
      <c r="NH36" s="81"/>
      <c r="NI36" s="82"/>
      <c r="NJ36" s="83"/>
      <c r="NK36" s="78"/>
      <c r="NL36" s="79"/>
      <c r="NM36" s="79"/>
      <c r="NN36" s="80"/>
      <c r="NO36" s="81"/>
      <c r="NP36" s="82"/>
      <c r="NQ36" s="83"/>
    </row>
    <row r="37" spans="1:381" ht="15" customHeight="1" x14ac:dyDescent="0.15">
      <c r="A37" s="65">
        <v>32</v>
      </c>
      <c r="B37" s="76"/>
      <c r="C37" s="77"/>
      <c r="D37" s="78"/>
      <c r="E37" s="79"/>
      <c r="F37" s="79"/>
      <c r="G37" s="80"/>
      <c r="H37" s="81"/>
      <c r="I37" s="82"/>
      <c r="J37" s="83"/>
      <c r="K37" s="78"/>
      <c r="L37" s="79"/>
      <c r="M37" s="79"/>
      <c r="N37" s="80"/>
      <c r="O37" s="81"/>
      <c r="P37" s="82"/>
      <c r="Q37" s="83"/>
      <c r="R37" s="78"/>
      <c r="S37" s="79"/>
      <c r="T37" s="79"/>
      <c r="U37" s="80"/>
      <c r="V37" s="81"/>
      <c r="W37" s="82"/>
      <c r="X37" s="83"/>
      <c r="Y37" s="78"/>
      <c r="Z37" s="79"/>
      <c r="AA37" s="79"/>
      <c r="AB37" s="80"/>
      <c r="AC37" s="81"/>
      <c r="AD37" s="82"/>
      <c r="AE37" s="83"/>
      <c r="AF37" s="78"/>
      <c r="AG37" s="79"/>
      <c r="AH37" s="79"/>
      <c r="AI37" s="80"/>
      <c r="AJ37" s="81"/>
      <c r="AK37" s="82"/>
      <c r="AL37" s="83"/>
      <c r="AM37" s="78"/>
      <c r="AN37" s="79"/>
      <c r="AO37" s="79"/>
      <c r="AP37" s="80"/>
      <c r="AQ37" s="81"/>
      <c r="AR37" s="82"/>
      <c r="AS37" s="83"/>
      <c r="AT37" s="78"/>
      <c r="AU37" s="79"/>
      <c r="AV37" s="79"/>
      <c r="AW37" s="80"/>
      <c r="AX37" s="81"/>
      <c r="AY37" s="82"/>
      <c r="AZ37" s="83"/>
      <c r="BA37" s="78"/>
      <c r="BB37" s="79"/>
      <c r="BC37" s="79"/>
      <c r="BD37" s="80"/>
      <c r="BE37" s="81"/>
      <c r="BF37" s="82"/>
      <c r="BG37" s="83"/>
      <c r="BH37" s="78"/>
      <c r="BI37" s="79"/>
      <c r="BJ37" s="79"/>
      <c r="BK37" s="80"/>
      <c r="BL37" s="81"/>
      <c r="BM37" s="82"/>
      <c r="BN37" s="83"/>
      <c r="BO37" s="78"/>
      <c r="BP37" s="79"/>
      <c r="BQ37" s="79"/>
      <c r="BR37" s="80"/>
      <c r="BS37" s="81"/>
      <c r="BT37" s="82"/>
      <c r="BU37" s="83"/>
      <c r="BV37" s="78"/>
      <c r="BW37" s="79"/>
      <c r="BX37" s="79"/>
      <c r="BY37" s="80"/>
      <c r="BZ37" s="81"/>
      <c r="CA37" s="82"/>
      <c r="CB37" s="83"/>
      <c r="CC37" s="78"/>
      <c r="CD37" s="79"/>
      <c r="CE37" s="79"/>
      <c r="CF37" s="80"/>
      <c r="CG37" s="81"/>
      <c r="CH37" s="82"/>
      <c r="CI37" s="83"/>
      <c r="CJ37" s="78"/>
      <c r="CK37" s="79"/>
      <c r="CL37" s="79"/>
      <c r="CM37" s="80"/>
      <c r="CN37" s="81"/>
      <c r="CO37" s="82"/>
      <c r="CP37" s="83"/>
      <c r="CQ37" s="78"/>
      <c r="CR37" s="79"/>
      <c r="CS37" s="79"/>
      <c r="CT37" s="80"/>
      <c r="CU37" s="81"/>
      <c r="CV37" s="82"/>
      <c r="CW37" s="83"/>
      <c r="CX37" s="78"/>
      <c r="CY37" s="79"/>
      <c r="CZ37" s="79"/>
      <c r="DA37" s="80"/>
      <c r="DB37" s="81"/>
      <c r="DC37" s="82"/>
      <c r="DD37" s="83"/>
      <c r="DE37" s="78"/>
      <c r="DF37" s="79"/>
      <c r="DG37" s="79"/>
      <c r="DH37" s="80"/>
      <c r="DI37" s="81"/>
      <c r="DJ37" s="82"/>
      <c r="DK37" s="83"/>
      <c r="DL37" s="78"/>
      <c r="DM37" s="79"/>
      <c r="DN37" s="79"/>
      <c r="DO37" s="80"/>
      <c r="DP37" s="81"/>
      <c r="DQ37" s="82"/>
      <c r="DR37" s="83"/>
      <c r="DS37" s="78"/>
      <c r="DT37" s="79"/>
      <c r="DU37" s="79"/>
      <c r="DV37" s="80"/>
      <c r="DW37" s="81"/>
      <c r="DX37" s="82"/>
      <c r="DY37" s="83"/>
      <c r="DZ37" s="78"/>
      <c r="EA37" s="79"/>
      <c r="EB37" s="79"/>
      <c r="EC37" s="80"/>
      <c r="ED37" s="81"/>
      <c r="EE37" s="82"/>
      <c r="EF37" s="83"/>
      <c r="EG37" s="78"/>
      <c r="EH37" s="79"/>
      <c r="EI37" s="79"/>
      <c r="EJ37" s="80"/>
      <c r="EK37" s="81"/>
      <c r="EL37" s="82"/>
      <c r="EM37" s="83"/>
      <c r="EN37" s="78"/>
      <c r="EO37" s="79"/>
      <c r="EP37" s="79"/>
      <c r="EQ37" s="80"/>
      <c r="ER37" s="81"/>
      <c r="ES37" s="82"/>
      <c r="ET37" s="83"/>
      <c r="EU37" s="78"/>
      <c r="EV37" s="79"/>
      <c r="EW37" s="79"/>
      <c r="EX37" s="80"/>
      <c r="EY37" s="81"/>
      <c r="EZ37" s="82"/>
      <c r="FA37" s="83"/>
      <c r="FB37" s="78"/>
      <c r="FC37" s="79"/>
      <c r="FD37" s="79"/>
      <c r="FE37" s="80"/>
      <c r="FF37" s="81"/>
      <c r="FG37" s="82"/>
      <c r="FH37" s="83"/>
      <c r="FI37" s="78"/>
      <c r="FJ37" s="79"/>
      <c r="FK37" s="79"/>
      <c r="FL37" s="80"/>
      <c r="FM37" s="81"/>
      <c r="FN37" s="82"/>
      <c r="FO37" s="83"/>
      <c r="FP37" s="78"/>
      <c r="FQ37" s="79"/>
      <c r="FR37" s="79"/>
      <c r="FS37" s="80"/>
      <c r="FT37" s="81"/>
      <c r="FU37" s="82"/>
      <c r="FV37" s="83"/>
      <c r="FW37" s="78"/>
      <c r="FX37" s="79"/>
      <c r="FY37" s="79"/>
      <c r="FZ37" s="80"/>
      <c r="GA37" s="81"/>
      <c r="GB37" s="82"/>
      <c r="GC37" s="83"/>
      <c r="GD37" s="78"/>
      <c r="GE37" s="79"/>
      <c r="GF37" s="79"/>
      <c r="GG37" s="80"/>
      <c r="GH37" s="81"/>
      <c r="GI37" s="82"/>
      <c r="GJ37" s="83"/>
      <c r="GK37" s="78"/>
      <c r="GL37" s="79"/>
      <c r="GM37" s="79"/>
      <c r="GN37" s="80"/>
      <c r="GO37" s="81"/>
      <c r="GP37" s="82"/>
      <c r="GQ37" s="83"/>
      <c r="GR37" s="78"/>
      <c r="GS37" s="79"/>
      <c r="GT37" s="79"/>
      <c r="GU37" s="80"/>
      <c r="GV37" s="81"/>
      <c r="GW37" s="82"/>
      <c r="GX37" s="83"/>
      <c r="GY37" s="78"/>
      <c r="GZ37" s="79"/>
      <c r="HA37" s="79"/>
      <c r="HB37" s="80"/>
      <c r="HC37" s="81"/>
      <c r="HD37" s="82"/>
      <c r="HE37" s="83"/>
      <c r="HF37" s="78"/>
      <c r="HG37" s="79"/>
      <c r="HH37" s="79"/>
      <c r="HI37" s="80"/>
      <c r="HJ37" s="81"/>
      <c r="HK37" s="82"/>
      <c r="HL37" s="83"/>
      <c r="HM37" s="78"/>
      <c r="HN37" s="79"/>
      <c r="HO37" s="79"/>
      <c r="HP37" s="80"/>
      <c r="HQ37" s="81"/>
      <c r="HR37" s="82"/>
      <c r="HS37" s="83"/>
      <c r="HT37" s="78"/>
      <c r="HU37" s="79"/>
      <c r="HV37" s="79"/>
      <c r="HW37" s="80"/>
      <c r="HX37" s="81"/>
      <c r="HY37" s="82"/>
      <c r="HZ37" s="83"/>
      <c r="IA37" s="78"/>
      <c r="IB37" s="79"/>
      <c r="IC37" s="79"/>
      <c r="ID37" s="80"/>
      <c r="IE37" s="81"/>
      <c r="IF37" s="82"/>
      <c r="IG37" s="83"/>
      <c r="IH37" s="78"/>
      <c r="II37" s="79"/>
      <c r="IJ37" s="79"/>
      <c r="IK37" s="80"/>
      <c r="IL37" s="81"/>
      <c r="IM37" s="82"/>
      <c r="IN37" s="83"/>
      <c r="IO37" s="78"/>
      <c r="IP37" s="79"/>
      <c r="IQ37" s="79"/>
      <c r="IR37" s="80"/>
      <c r="IS37" s="81"/>
      <c r="IT37" s="82"/>
      <c r="IU37" s="83"/>
      <c r="IV37" s="78"/>
      <c r="IW37" s="79"/>
      <c r="IX37" s="79"/>
      <c r="IY37" s="80"/>
      <c r="IZ37" s="81"/>
      <c r="JA37" s="82"/>
      <c r="JB37" s="83"/>
      <c r="JC37" s="78"/>
      <c r="JD37" s="79"/>
      <c r="JE37" s="79"/>
      <c r="JF37" s="80"/>
      <c r="JG37" s="81"/>
      <c r="JH37" s="82"/>
      <c r="JI37" s="83"/>
      <c r="JJ37" s="78"/>
      <c r="JK37" s="79"/>
      <c r="JL37" s="79"/>
      <c r="JM37" s="80"/>
      <c r="JN37" s="81"/>
      <c r="JO37" s="82"/>
      <c r="JP37" s="83"/>
      <c r="JQ37" s="78"/>
      <c r="JR37" s="79"/>
      <c r="JS37" s="79"/>
      <c r="JT37" s="80"/>
      <c r="JU37" s="81"/>
      <c r="JV37" s="82"/>
      <c r="JW37" s="83"/>
      <c r="JX37" s="78"/>
      <c r="JY37" s="79"/>
      <c r="JZ37" s="79"/>
      <c r="KA37" s="80"/>
      <c r="KB37" s="81"/>
      <c r="KC37" s="82"/>
      <c r="KD37" s="83"/>
      <c r="KE37" s="78"/>
      <c r="KF37" s="79"/>
      <c r="KG37" s="79"/>
      <c r="KH37" s="80"/>
      <c r="KI37" s="81"/>
      <c r="KJ37" s="82"/>
      <c r="KK37" s="83"/>
      <c r="KL37" s="78"/>
      <c r="KM37" s="79"/>
      <c r="KN37" s="79"/>
      <c r="KO37" s="80"/>
      <c r="KP37" s="81"/>
      <c r="KQ37" s="82"/>
      <c r="KR37" s="83"/>
      <c r="KS37" s="78"/>
      <c r="KT37" s="79"/>
      <c r="KU37" s="79"/>
      <c r="KV37" s="80"/>
      <c r="KW37" s="81"/>
      <c r="KX37" s="82"/>
      <c r="KY37" s="83"/>
      <c r="KZ37" s="78"/>
      <c r="LA37" s="79"/>
      <c r="LB37" s="79"/>
      <c r="LC37" s="80"/>
      <c r="LD37" s="81"/>
      <c r="LE37" s="82"/>
      <c r="LF37" s="83"/>
      <c r="LG37" s="78"/>
      <c r="LH37" s="79"/>
      <c r="LI37" s="79"/>
      <c r="LJ37" s="80"/>
      <c r="LK37" s="81"/>
      <c r="LL37" s="82"/>
      <c r="LM37" s="83"/>
      <c r="LN37" s="78"/>
      <c r="LO37" s="79"/>
      <c r="LP37" s="79"/>
      <c r="LQ37" s="80"/>
      <c r="LR37" s="81"/>
      <c r="LS37" s="82"/>
      <c r="LT37" s="83"/>
      <c r="LU37" s="78"/>
      <c r="LV37" s="79"/>
      <c r="LW37" s="79"/>
      <c r="LX37" s="80"/>
      <c r="LY37" s="81"/>
      <c r="LZ37" s="82"/>
      <c r="MA37" s="83"/>
      <c r="MB37" s="78"/>
      <c r="MC37" s="79"/>
      <c r="MD37" s="79"/>
      <c r="ME37" s="80"/>
      <c r="MF37" s="81"/>
      <c r="MG37" s="82"/>
      <c r="MH37" s="83"/>
      <c r="MI37" s="78"/>
      <c r="MJ37" s="79"/>
      <c r="MK37" s="79"/>
      <c r="ML37" s="80"/>
      <c r="MM37" s="81"/>
      <c r="MN37" s="82"/>
      <c r="MO37" s="83"/>
      <c r="MP37" s="78"/>
      <c r="MQ37" s="79"/>
      <c r="MR37" s="79"/>
      <c r="MS37" s="80"/>
      <c r="MT37" s="81"/>
      <c r="MU37" s="82"/>
      <c r="MV37" s="83"/>
      <c r="MW37" s="78"/>
      <c r="MX37" s="79"/>
      <c r="MY37" s="79"/>
      <c r="MZ37" s="80"/>
      <c r="NA37" s="81"/>
      <c r="NB37" s="82"/>
      <c r="NC37" s="83"/>
      <c r="ND37" s="78"/>
      <c r="NE37" s="79"/>
      <c r="NF37" s="79"/>
      <c r="NG37" s="80"/>
      <c r="NH37" s="81"/>
      <c r="NI37" s="82"/>
      <c r="NJ37" s="83"/>
      <c r="NK37" s="78"/>
      <c r="NL37" s="79"/>
      <c r="NM37" s="79"/>
      <c r="NN37" s="80"/>
      <c r="NO37" s="81"/>
      <c r="NP37" s="82"/>
      <c r="NQ37" s="83"/>
    </row>
    <row r="38" spans="1:381" ht="15" customHeight="1" x14ac:dyDescent="0.15">
      <c r="A38" s="65">
        <v>33</v>
      </c>
      <c r="B38" s="76"/>
      <c r="C38" s="77">
        <v>0.625</v>
      </c>
      <c r="D38" s="78"/>
      <c r="E38" s="79"/>
      <c r="F38" s="79"/>
      <c r="G38" s="80"/>
      <c r="H38" s="81"/>
      <c r="I38" s="82"/>
      <c r="J38" s="83"/>
      <c r="K38" s="78"/>
      <c r="L38" s="79"/>
      <c r="M38" s="79"/>
      <c r="N38" s="80"/>
      <c r="O38" s="81"/>
      <c r="P38" s="82"/>
      <c r="Q38" s="83"/>
      <c r="R38" s="78"/>
      <c r="S38" s="79"/>
      <c r="T38" s="79"/>
      <c r="U38" s="80"/>
      <c r="V38" s="81"/>
      <c r="W38" s="82"/>
      <c r="X38" s="83"/>
      <c r="Y38" s="78"/>
      <c r="Z38" s="79"/>
      <c r="AA38" s="79"/>
      <c r="AB38" s="80"/>
      <c r="AC38" s="81"/>
      <c r="AD38" s="82"/>
      <c r="AE38" s="83"/>
      <c r="AF38" s="78"/>
      <c r="AG38" s="79"/>
      <c r="AH38" s="79"/>
      <c r="AI38" s="80"/>
      <c r="AJ38" s="81"/>
      <c r="AK38" s="82"/>
      <c r="AL38" s="83"/>
      <c r="AM38" s="78"/>
      <c r="AN38" s="79"/>
      <c r="AO38" s="79"/>
      <c r="AP38" s="80"/>
      <c r="AQ38" s="81"/>
      <c r="AR38" s="82"/>
      <c r="AS38" s="83"/>
      <c r="AT38" s="78"/>
      <c r="AU38" s="79"/>
      <c r="AV38" s="79"/>
      <c r="AW38" s="80"/>
      <c r="AX38" s="81"/>
      <c r="AY38" s="82"/>
      <c r="AZ38" s="83"/>
      <c r="BA38" s="78"/>
      <c r="BB38" s="79"/>
      <c r="BC38" s="79"/>
      <c r="BD38" s="80"/>
      <c r="BE38" s="81"/>
      <c r="BF38" s="82"/>
      <c r="BG38" s="83"/>
      <c r="BH38" s="78"/>
      <c r="BI38" s="79"/>
      <c r="BJ38" s="79"/>
      <c r="BK38" s="80"/>
      <c r="BL38" s="81"/>
      <c r="BM38" s="82"/>
      <c r="BN38" s="83"/>
      <c r="BO38" s="78"/>
      <c r="BP38" s="79"/>
      <c r="BQ38" s="79"/>
      <c r="BR38" s="80"/>
      <c r="BS38" s="81"/>
      <c r="BT38" s="82"/>
      <c r="BU38" s="83"/>
      <c r="BV38" s="78"/>
      <c r="BW38" s="79"/>
      <c r="BX38" s="79"/>
      <c r="BY38" s="80"/>
      <c r="BZ38" s="81"/>
      <c r="CA38" s="82"/>
      <c r="CB38" s="83"/>
      <c r="CC38" s="78"/>
      <c r="CD38" s="79"/>
      <c r="CE38" s="79"/>
      <c r="CF38" s="80"/>
      <c r="CG38" s="81"/>
      <c r="CH38" s="82"/>
      <c r="CI38" s="83"/>
      <c r="CJ38" s="78"/>
      <c r="CK38" s="79"/>
      <c r="CL38" s="79"/>
      <c r="CM38" s="80"/>
      <c r="CN38" s="81"/>
      <c r="CO38" s="82"/>
      <c r="CP38" s="83"/>
      <c r="CQ38" s="78"/>
      <c r="CR38" s="79"/>
      <c r="CS38" s="79"/>
      <c r="CT38" s="80"/>
      <c r="CU38" s="81"/>
      <c r="CV38" s="82"/>
      <c r="CW38" s="83"/>
      <c r="CX38" s="78"/>
      <c r="CY38" s="79"/>
      <c r="CZ38" s="79"/>
      <c r="DA38" s="80"/>
      <c r="DB38" s="81"/>
      <c r="DC38" s="82"/>
      <c r="DD38" s="83"/>
      <c r="DE38" s="78"/>
      <c r="DF38" s="79"/>
      <c r="DG38" s="79"/>
      <c r="DH38" s="80"/>
      <c r="DI38" s="81"/>
      <c r="DJ38" s="82"/>
      <c r="DK38" s="83"/>
      <c r="DL38" s="78"/>
      <c r="DM38" s="79"/>
      <c r="DN38" s="79"/>
      <c r="DO38" s="80"/>
      <c r="DP38" s="81"/>
      <c r="DQ38" s="82"/>
      <c r="DR38" s="83"/>
      <c r="DS38" s="78"/>
      <c r="DT38" s="79"/>
      <c r="DU38" s="79"/>
      <c r="DV38" s="80"/>
      <c r="DW38" s="81"/>
      <c r="DX38" s="82"/>
      <c r="DY38" s="83"/>
      <c r="DZ38" s="78"/>
      <c r="EA38" s="79"/>
      <c r="EB38" s="79"/>
      <c r="EC38" s="80"/>
      <c r="ED38" s="81"/>
      <c r="EE38" s="82"/>
      <c r="EF38" s="83"/>
      <c r="EG38" s="78"/>
      <c r="EH38" s="79"/>
      <c r="EI38" s="79"/>
      <c r="EJ38" s="80"/>
      <c r="EK38" s="81"/>
      <c r="EL38" s="82"/>
      <c r="EM38" s="83"/>
      <c r="EN38" s="78"/>
      <c r="EO38" s="79"/>
      <c r="EP38" s="79"/>
      <c r="EQ38" s="80"/>
      <c r="ER38" s="81"/>
      <c r="ES38" s="82"/>
      <c r="ET38" s="83"/>
      <c r="EU38" s="78"/>
      <c r="EV38" s="79"/>
      <c r="EW38" s="79"/>
      <c r="EX38" s="80"/>
      <c r="EY38" s="81"/>
      <c r="EZ38" s="82"/>
      <c r="FA38" s="83"/>
      <c r="FB38" s="78"/>
      <c r="FC38" s="79"/>
      <c r="FD38" s="79"/>
      <c r="FE38" s="80"/>
      <c r="FF38" s="81"/>
      <c r="FG38" s="82"/>
      <c r="FH38" s="83"/>
      <c r="FI38" s="78"/>
      <c r="FJ38" s="79"/>
      <c r="FK38" s="79"/>
      <c r="FL38" s="80"/>
      <c r="FM38" s="81"/>
      <c r="FN38" s="82"/>
      <c r="FO38" s="83"/>
      <c r="FP38" s="78"/>
      <c r="FQ38" s="79"/>
      <c r="FR38" s="79"/>
      <c r="FS38" s="80"/>
      <c r="FT38" s="81"/>
      <c r="FU38" s="82"/>
      <c r="FV38" s="83"/>
      <c r="FW38" s="78"/>
      <c r="FX38" s="79"/>
      <c r="FY38" s="79"/>
      <c r="FZ38" s="80"/>
      <c r="GA38" s="81"/>
      <c r="GB38" s="82"/>
      <c r="GC38" s="83"/>
      <c r="GD38" s="78"/>
      <c r="GE38" s="79"/>
      <c r="GF38" s="79"/>
      <c r="GG38" s="80"/>
      <c r="GH38" s="81"/>
      <c r="GI38" s="82"/>
      <c r="GJ38" s="83"/>
      <c r="GK38" s="78"/>
      <c r="GL38" s="79"/>
      <c r="GM38" s="79"/>
      <c r="GN38" s="80"/>
      <c r="GO38" s="81"/>
      <c r="GP38" s="82"/>
      <c r="GQ38" s="83"/>
      <c r="GR38" s="78"/>
      <c r="GS38" s="79"/>
      <c r="GT38" s="79"/>
      <c r="GU38" s="80"/>
      <c r="GV38" s="81"/>
      <c r="GW38" s="82"/>
      <c r="GX38" s="83"/>
      <c r="GY38" s="78"/>
      <c r="GZ38" s="79"/>
      <c r="HA38" s="79"/>
      <c r="HB38" s="80"/>
      <c r="HC38" s="81"/>
      <c r="HD38" s="82"/>
      <c r="HE38" s="83"/>
      <c r="HF38" s="78"/>
      <c r="HG38" s="79"/>
      <c r="HH38" s="79"/>
      <c r="HI38" s="80"/>
      <c r="HJ38" s="81"/>
      <c r="HK38" s="82"/>
      <c r="HL38" s="83"/>
      <c r="HM38" s="78"/>
      <c r="HN38" s="79"/>
      <c r="HO38" s="79"/>
      <c r="HP38" s="80"/>
      <c r="HQ38" s="81"/>
      <c r="HR38" s="82"/>
      <c r="HS38" s="83"/>
      <c r="HT38" s="78"/>
      <c r="HU38" s="79"/>
      <c r="HV38" s="79"/>
      <c r="HW38" s="80"/>
      <c r="HX38" s="81"/>
      <c r="HY38" s="82"/>
      <c r="HZ38" s="83"/>
      <c r="IA38" s="78"/>
      <c r="IB38" s="79"/>
      <c r="IC38" s="79"/>
      <c r="ID38" s="80"/>
      <c r="IE38" s="81"/>
      <c r="IF38" s="82"/>
      <c r="IG38" s="83"/>
      <c r="IH38" s="78"/>
      <c r="II38" s="79"/>
      <c r="IJ38" s="79"/>
      <c r="IK38" s="80"/>
      <c r="IL38" s="81"/>
      <c r="IM38" s="82"/>
      <c r="IN38" s="83"/>
      <c r="IO38" s="78"/>
      <c r="IP38" s="79"/>
      <c r="IQ38" s="79"/>
      <c r="IR38" s="80"/>
      <c r="IS38" s="81"/>
      <c r="IT38" s="82"/>
      <c r="IU38" s="83"/>
      <c r="IV38" s="78"/>
      <c r="IW38" s="79"/>
      <c r="IX38" s="79"/>
      <c r="IY38" s="80"/>
      <c r="IZ38" s="81"/>
      <c r="JA38" s="82"/>
      <c r="JB38" s="83"/>
      <c r="JC38" s="78"/>
      <c r="JD38" s="79"/>
      <c r="JE38" s="79"/>
      <c r="JF38" s="80"/>
      <c r="JG38" s="81"/>
      <c r="JH38" s="82"/>
      <c r="JI38" s="83"/>
      <c r="JJ38" s="78"/>
      <c r="JK38" s="79"/>
      <c r="JL38" s="79"/>
      <c r="JM38" s="80"/>
      <c r="JN38" s="81"/>
      <c r="JO38" s="82"/>
      <c r="JP38" s="83"/>
      <c r="JQ38" s="78"/>
      <c r="JR38" s="79"/>
      <c r="JS38" s="79"/>
      <c r="JT38" s="80"/>
      <c r="JU38" s="81"/>
      <c r="JV38" s="82"/>
      <c r="JW38" s="83"/>
      <c r="JX38" s="78"/>
      <c r="JY38" s="79"/>
      <c r="JZ38" s="79"/>
      <c r="KA38" s="80"/>
      <c r="KB38" s="81"/>
      <c r="KC38" s="82"/>
      <c r="KD38" s="83"/>
      <c r="KE38" s="78"/>
      <c r="KF38" s="79"/>
      <c r="KG38" s="79"/>
      <c r="KH38" s="80"/>
      <c r="KI38" s="81"/>
      <c r="KJ38" s="82"/>
      <c r="KK38" s="83"/>
      <c r="KL38" s="78"/>
      <c r="KM38" s="79"/>
      <c r="KN38" s="79"/>
      <c r="KO38" s="80"/>
      <c r="KP38" s="81"/>
      <c r="KQ38" s="82"/>
      <c r="KR38" s="83"/>
      <c r="KS38" s="78"/>
      <c r="KT38" s="79"/>
      <c r="KU38" s="79"/>
      <c r="KV38" s="80"/>
      <c r="KW38" s="81"/>
      <c r="KX38" s="82"/>
      <c r="KY38" s="83"/>
      <c r="KZ38" s="78"/>
      <c r="LA38" s="79"/>
      <c r="LB38" s="79"/>
      <c r="LC38" s="80"/>
      <c r="LD38" s="81"/>
      <c r="LE38" s="82"/>
      <c r="LF38" s="83"/>
      <c r="LG38" s="78"/>
      <c r="LH38" s="79"/>
      <c r="LI38" s="79"/>
      <c r="LJ38" s="80"/>
      <c r="LK38" s="81"/>
      <c r="LL38" s="82"/>
      <c r="LM38" s="83"/>
      <c r="LN38" s="78"/>
      <c r="LO38" s="79"/>
      <c r="LP38" s="79"/>
      <c r="LQ38" s="80"/>
      <c r="LR38" s="81"/>
      <c r="LS38" s="82"/>
      <c r="LT38" s="83"/>
      <c r="LU38" s="78"/>
      <c r="LV38" s="79"/>
      <c r="LW38" s="79"/>
      <c r="LX38" s="80"/>
      <c r="LY38" s="81"/>
      <c r="LZ38" s="82"/>
      <c r="MA38" s="83"/>
      <c r="MB38" s="78"/>
      <c r="MC38" s="79"/>
      <c r="MD38" s="79"/>
      <c r="ME38" s="80"/>
      <c r="MF38" s="81"/>
      <c r="MG38" s="82"/>
      <c r="MH38" s="83"/>
      <c r="MI38" s="78"/>
      <c r="MJ38" s="79"/>
      <c r="MK38" s="79"/>
      <c r="ML38" s="80"/>
      <c r="MM38" s="81"/>
      <c r="MN38" s="82"/>
      <c r="MO38" s="83"/>
      <c r="MP38" s="78"/>
      <c r="MQ38" s="79"/>
      <c r="MR38" s="79"/>
      <c r="MS38" s="80"/>
      <c r="MT38" s="81"/>
      <c r="MU38" s="82"/>
      <c r="MV38" s="83"/>
      <c r="MW38" s="78"/>
      <c r="MX38" s="79"/>
      <c r="MY38" s="79"/>
      <c r="MZ38" s="80"/>
      <c r="NA38" s="81"/>
      <c r="NB38" s="82"/>
      <c r="NC38" s="83"/>
      <c r="ND38" s="78"/>
      <c r="NE38" s="79"/>
      <c r="NF38" s="79"/>
      <c r="NG38" s="80"/>
      <c r="NH38" s="81"/>
      <c r="NI38" s="82"/>
      <c r="NJ38" s="83"/>
      <c r="NK38" s="78"/>
      <c r="NL38" s="79"/>
      <c r="NM38" s="79"/>
      <c r="NN38" s="80"/>
      <c r="NO38" s="81"/>
      <c r="NP38" s="82"/>
      <c r="NQ38" s="83"/>
    </row>
    <row r="39" spans="1:381" ht="15" customHeight="1" x14ac:dyDescent="0.15">
      <c r="A39" s="65">
        <v>34</v>
      </c>
      <c r="B39" s="76"/>
      <c r="C39" s="77"/>
      <c r="D39" s="78"/>
      <c r="E39" s="79"/>
      <c r="F39" s="79"/>
      <c r="G39" s="80"/>
      <c r="H39" s="81"/>
      <c r="I39" s="82"/>
      <c r="J39" s="83"/>
      <c r="K39" s="78"/>
      <c r="L39" s="79"/>
      <c r="M39" s="79"/>
      <c r="N39" s="80"/>
      <c r="O39" s="81"/>
      <c r="P39" s="82"/>
      <c r="Q39" s="83"/>
      <c r="R39" s="78"/>
      <c r="S39" s="79"/>
      <c r="T39" s="79"/>
      <c r="U39" s="80"/>
      <c r="V39" s="81"/>
      <c r="W39" s="82"/>
      <c r="X39" s="83"/>
      <c r="Y39" s="78"/>
      <c r="Z39" s="79"/>
      <c r="AA39" s="79"/>
      <c r="AB39" s="80"/>
      <c r="AC39" s="81"/>
      <c r="AD39" s="82"/>
      <c r="AE39" s="83"/>
      <c r="AF39" s="78"/>
      <c r="AG39" s="79"/>
      <c r="AH39" s="79"/>
      <c r="AI39" s="80"/>
      <c r="AJ39" s="81"/>
      <c r="AK39" s="82"/>
      <c r="AL39" s="83"/>
      <c r="AM39" s="78"/>
      <c r="AN39" s="79"/>
      <c r="AO39" s="79"/>
      <c r="AP39" s="80"/>
      <c r="AQ39" s="81"/>
      <c r="AR39" s="82"/>
      <c r="AS39" s="83"/>
      <c r="AT39" s="78"/>
      <c r="AU39" s="79"/>
      <c r="AV39" s="79"/>
      <c r="AW39" s="80"/>
      <c r="AX39" s="81"/>
      <c r="AY39" s="82"/>
      <c r="AZ39" s="83"/>
      <c r="BA39" s="78"/>
      <c r="BB39" s="79"/>
      <c r="BC39" s="79"/>
      <c r="BD39" s="80"/>
      <c r="BE39" s="81"/>
      <c r="BF39" s="82"/>
      <c r="BG39" s="83"/>
      <c r="BH39" s="78"/>
      <c r="BI39" s="79"/>
      <c r="BJ39" s="79"/>
      <c r="BK39" s="80"/>
      <c r="BL39" s="81"/>
      <c r="BM39" s="82"/>
      <c r="BN39" s="83"/>
      <c r="BO39" s="78"/>
      <c r="BP39" s="79"/>
      <c r="BQ39" s="79"/>
      <c r="BR39" s="80"/>
      <c r="BS39" s="81"/>
      <c r="BT39" s="82"/>
      <c r="BU39" s="83"/>
      <c r="BV39" s="78"/>
      <c r="BW39" s="79"/>
      <c r="BX39" s="79"/>
      <c r="BY39" s="80"/>
      <c r="BZ39" s="81"/>
      <c r="CA39" s="82"/>
      <c r="CB39" s="83"/>
      <c r="CC39" s="78"/>
      <c r="CD39" s="79"/>
      <c r="CE39" s="79"/>
      <c r="CF39" s="80"/>
      <c r="CG39" s="81"/>
      <c r="CH39" s="82"/>
      <c r="CI39" s="83"/>
      <c r="CJ39" s="78"/>
      <c r="CK39" s="79"/>
      <c r="CL39" s="79"/>
      <c r="CM39" s="80"/>
      <c r="CN39" s="81"/>
      <c r="CO39" s="82"/>
      <c r="CP39" s="83"/>
      <c r="CQ39" s="78"/>
      <c r="CR39" s="79"/>
      <c r="CS39" s="79"/>
      <c r="CT39" s="80"/>
      <c r="CU39" s="81"/>
      <c r="CV39" s="82"/>
      <c r="CW39" s="83"/>
      <c r="CX39" s="78"/>
      <c r="CY39" s="79"/>
      <c r="CZ39" s="79"/>
      <c r="DA39" s="80"/>
      <c r="DB39" s="81"/>
      <c r="DC39" s="82"/>
      <c r="DD39" s="83"/>
      <c r="DE39" s="78"/>
      <c r="DF39" s="79"/>
      <c r="DG39" s="79"/>
      <c r="DH39" s="80"/>
      <c r="DI39" s="81"/>
      <c r="DJ39" s="82"/>
      <c r="DK39" s="83"/>
      <c r="DL39" s="78"/>
      <c r="DM39" s="79"/>
      <c r="DN39" s="79"/>
      <c r="DO39" s="80"/>
      <c r="DP39" s="81"/>
      <c r="DQ39" s="82"/>
      <c r="DR39" s="83"/>
      <c r="DS39" s="78"/>
      <c r="DT39" s="79"/>
      <c r="DU39" s="79"/>
      <c r="DV39" s="80"/>
      <c r="DW39" s="81"/>
      <c r="DX39" s="82"/>
      <c r="DY39" s="83"/>
      <c r="DZ39" s="78"/>
      <c r="EA39" s="79"/>
      <c r="EB39" s="79"/>
      <c r="EC39" s="80"/>
      <c r="ED39" s="81"/>
      <c r="EE39" s="82"/>
      <c r="EF39" s="83"/>
      <c r="EG39" s="78"/>
      <c r="EH39" s="79"/>
      <c r="EI39" s="79"/>
      <c r="EJ39" s="80"/>
      <c r="EK39" s="81"/>
      <c r="EL39" s="82"/>
      <c r="EM39" s="83"/>
      <c r="EN39" s="78"/>
      <c r="EO39" s="79"/>
      <c r="EP39" s="79"/>
      <c r="EQ39" s="80"/>
      <c r="ER39" s="81"/>
      <c r="ES39" s="82"/>
      <c r="ET39" s="83"/>
      <c r="EU39" s="78"/>
      <c r="EV39" s="79"/>
      <c r="EW39" s="79"/>
      <c r="EX39" s="80"/>
      <c r="EY39" s="81"/>
      <c r="EZ39" s="82"/>
      <c r="FA39" s="83"/>
      <c r="FB39" s="78"/>
      <c r="FC39" s="79"/>
      <c r="FD39" s="79"/>
      <c r="FE39" s="80"/>
      <c r="FF39" s="81"/>
      <c r="FG39" s="82"/>
      <c r="FH39" s="83"/>
      <c r="FI39" s="78"/>
      <c r="FJ39" s="79"/>
      <c r="FK39" s="79"/>
      <c r="FL39" s="80"/>
      <c r="FM39" s="81"/>
      <c r="FN39" s="82"/>
      <c r="FO39" s="83"/>
      <c r="FP39" s="78"/>
      <c r="FQ39" s="79"/>
      <c r="FR39" s="79"/>
      <c r="FS39" s="80"/>
      <c r="FT39" s="81"/>
      <c r="FU39" s="82"/>
      <c r="FV39" s="83"/>
      <c r="FW39" s="78"/>
      <c r="FX39" s="79"/>
      <c r="FY39" s="79"/>
      <c r="FZ39" s="80"/>
      <c r="GA39" s="81"/>
      <c r="GB39" s="82"/>
      <c r="GC39" s="83"/>
      <c r="GD39" s="78"/>
      <c r="GE39" s="79"/>
      <c r="GF39" s="79"/>
      <c r="GG39" s="80"/>
      <c r="GH39" s="81"/>
      <c r="GI39" s="82"/>
      <c r="GJ39" s="83"/>
      <c r="GK39" s="78"/>
      <c r="GL39" s="79"/>
      <c r="GM39" s="79"/>
      <c r="GN39" s="80"/>
      <c r="GO39" s="81"/>
      <c r="GP39" s="82"/>
      <c r="GQ39" s="83"/>
      <c r="GR39" s="78"/>
      <c r="GS39" s="79"/>
      <c r="GT39" s="79"/>
      <c r="GU39" s="80"/>
      <c r="GV39" s="81"/>
      <c r="GW39" s="82"/>
      <c r="GX39" s="83"/>
      <c r="GY39" s="78"/>
      <c r="GZ39" s="79"/>
      <c r="HA39" s="79"/>
      <c r="HB39" s="80"/>
      <c r="HC39" s="81"/>
      <c r="HD39" s="82"/>
      <c r="HE39" s="83"/>
      <c r="HF39" s="78"/>
      <c r="HG39" s="79"/>
      <c r="HH39" s="79"/>
      <c r="HI39" s="80"/>
      <c r="HJ39" s="81"/>
      <c r="HK39" s="82"/>
      <c r="HL39" s="83"/>
      <c r="HM39" s="78"/>
      <c r="HN39" s="79"/>
      <c r="HO39" s="79"/>
      <c r="HP39" s="80"/>
      <c r="HQ39" s="81"/>
      <c r="HR39" s="82"/>
      <c r="HS39" s="83"/>
      <c r="HT39" s="78"/>
      <c r="HU39" s="79"/>
      <c r="HV39" s="79"/>
      <c r="HW39" s="80"/>
      <c r="HX39" s="81"/>
      <c r="HY39" s="82"/>
      <c r="HZ39" s="83"/>
      <c r="IA39" s="78"/>
      <c r="IB39" s="79"/>
      <c r="IC39" s="79"/>
      <c r="ID39" s="80"/>
      <c r="IE39" s="81"/>
      <c r="IF39" s="82"/>
      <c r="IG39" s="83"/>
      <c r="IH39" s="78"/>
      <c r="II39" s="79"/>
      <c r="IJ39" s="79"/>
      <c r="IK39" s="80"/>
      <c r="IL39" s="81"/>
      <c r="IM39" s="82"/>
      <c r="IN39" s="83"/>
      <c r="IO39" s="78"/>
      <c r="IP39" s="79"/>
      <c r="IQ39" s="79"/>
      <c r="IR39" s="80"/>
      <c r="IS39" s="81"/>
      <c r="IT39" s="82"/>
      <c r="IU39" s="83"/>
      <c r="IV39" s="78"/>
      <c r="IW39" s="79"/>
      <c r="IX39" s="79"/>
      <c r="IY39" s="80"/>
      <c r="IZ39" s="81"/>
      <c r="JA39" s="82"/>
      <c r="JB39" s="83"/>
      <c r="JC39" s="78"/>
      <c r="JD39" s="79"/>
      <c r="JE39" s="79"/>
      <c r="JF39" s="80"/>
      <c r="JG39" s="81"/>
      <c r="JH39" s="82"/>
      <c r="JI39" s="83"/>
      <c r="JJ39" s="78"/>
      <c r="JK39" s="79"/>
      <c r="JL39" s="79"/>
      <c r="JM39" s="80"/>
      <c r="JN39" s="81"/>
      <c r="JO39" s="82"/>
      <c r="JP39" s="83"/>
      <c r="JQ39" s="78"/>
      <c r="JR39" s="79"/>
      <c r="JS39" s="79"/>
      <c r="JT39" s="80"/>
      <c r="JU39" s="81"/>
      <c r="JV39" s="82"/>
      <c r="JW39" s="83"/>
      <c r="JX39" s="78"/>
      <c r="JY39" s="79"/>
      <c r="JZ39" s="79"/>
      <c r="KA39" s="80"/>
      <c r="KB39" s="81"/>
      <c r="KC39" s="82"/>
      <c r="KD39" s="83"/>
      <c r="KE39" s="78"/>
      <c r="KF39" s="79"/>
      <c r="KG39" s="79"/>
      <c r="KH39" s="80"/>
      <c r="KI39" s="81"/>
      <c r="KJ39" s="82"/>
      <c r="KK39" s="83"/>
      <c r="KL39" s="78"/>
      <c r="KM39" s="79"/>
      <c r="KN39" s="79"/>
      <c r="KO39" s="80"/>
      <c r="KP39" s="81"/>
      <c r="KQ39" s="82"/>
      <c r="KR39" s="83"/>
      <c r="KS39" s="78"/>
      <c r="KT39" s="79"/>
      <c r="KU39" s="79"/>
      <c r="KV39" s="80"/>
      <c r="KW39" s="81"/>
      <c r="KX39" s="82"/>
      <c r="KY39" s="83"/>
      <c r="KZ39" s="78"/>
      <c r="LA39" s="79"/>
      <c r="LB39" s="79"/>
      <c r="LC39" s="80"/>
      <c r="LD39" s="81"/>
      <c r="LE39" s="82"/>
      <c r="LF39" s="83"/>
      <c r="LG39" s="78"/>
      <c r="LH39" s="79"/>
      <c r="LI39" s="79"/>
      <c r="LJ39" s="80"/>
      <c r="LK39" s="81"/>
      <c r="LL39" s="82"/>
      <c r="LM39" s="83"/>
      <c r="LN39" s="78"/>
      <c r="LO39" s="79"/>
      <c r="LP39" s="79"/>
      <c r="LQ39" s="80"/>
      <c r="LR39" s="81"/>
      <c r="LS39" s="82"/>
      <c r="LT39" s="83"/>
      <c r="LU39" s="78"/>
      <c r="LV39" s="79"/>
      <c r="LW39" s="79"/>
      <c r="LX39" s="80"/>
      <c r="LY39" s="81"/>
      <c r="LZ39" s="82"/>
      <c r="MA39" s="83"/>
      <c r="MB39" s="78"/>
      <c r="MC39" s="79"/>
      <c r="MD39" s="79"/>
      <c r="ME39" s="80"/>
      <c r="MF39" s="81"/>
      <c r="MG39" s="82"/>
      <c r="MH39" s="83"/>
      <c r="MI39" s="78"/>
      <c r="MJ39" s="79"/>
      <c r="MK39" s="79"/>
      <c r="ML39" s="80"/>
      <c r="MM39" s="81"/>
      <c r="MN39" s="82"/>
      <c r="MO39" s="83"/>
      <c r="MP39" s="78"/>
      <c r="MQ39" s="79"/>
      <c r="MR39" s="79"/>
      <c r="MS39" s="80"/>
      <c r="MT39" s="81"/>
      <c r="MU39" s="82"/>
      <c r="MV39" s="83"/>
      <c r="MW39" s="78"/>
      <c r="MX39" s="79"/>
      <c r="MY39" s="79"/>
      <c r="MZ39" s="80"/>
      <c r="NA39" s="81"/>
      <c r="NB39" s="82"/>
      <c r="NC39" s="83"/>
      <c r="ND39" s="78"/>
      <c r="NE39" s="79"/>
      <c r="NF39" s="79"/>
      <c r="NG39" s="80"/>
      <c r="NH39" s="81"/>
      <c r="NI39" s="82"/>
      <c r="NJ39" s="83"/>
      <c r="NK39" s="78"/>
      <c r="NL39" s="79"/>
      <c r="NM39" s="79"/>
      <c r="NN39" s="80"/>
      <c r="NO39" s="81"/>
      <c r="NP39" s="82"/>
      <c r="NQ39" s="83"/>
    </row>
    <row r="40" spans="1:381" ht="15" customHeight="1" x14ac:dyDescent="0.15">
      <c r="A40" s="65">
        <v>35</v>
      </c>
      <c r="B40" s="76"/>
      <c r="C40" s="77">
        <v>0.66666666666666596</v>
      </c>
      <c r="D40" s="78"/>
      <c r="E40" s="79"/>
      <c r="F40" s="79"/>
      <c r="G40" s="80"/>
      <c r="H40" s="81"/>
      <c r="I40" s="82"/>
      <c r="J40" s="83"/>
      <c r="K40" s="78"/>
      <c r="L40" s="79"/>
      <c r="M40" s="79"/>
      <c r="N40" s="80"/>
      <c r="O40" s="81"/>
      <c r="P40" s="82"/>
      <c r="Q40" s="83"/>
      <c r="R40" s="78"/>
      <c r="S40" s="79"/>
      <c r="T40" s="79"/>
      <c r="U40" s="80"/>
      <c r="V40" s="81"/>
      <c r="W40" s="82"/>
      <c r="X40" s="83"/>
      <c r="Y40" s="78"/>
      <c r="Z40" s="79"/>
      <c r="AA40" s="79"/>
      <c r="AB40" s="80"/>
      <c r="AC40" s="81"/>
      <c r="AD40" s="82"/>
      <c r="AE40" s="83"/>
      <c r="AF40" s="78"/>
      <c r="AG40" s="79"/>
      <c r="AH40" s="79"/>
      <c r="AI40" s="80"/>
      <c r="AJ40" s="81"/>
      <c r="AK40" s="82"/>
      <c r="AL40" s="83"/>
      <c r="AM40" s="78"/>
      <c r="AN40" s="79"/>
      <c r="AO40" s="79"/>
      <c r="AP40" s="80"/>
      <c r="AQ40" s="81"/>
      <c r="AR40" s="82"/>
      <c r="AS40" s="83"/>
      <c r="AT40" s="78"/>
      <c r="AU40" s="79"/>
      <c r="AV40" s="79"/>
      <c r="AW40" s="80"/>
      <c r="AX40" s="81"/>
      <c r="AY40" s="82"/>
      <c r="AZ40" s="83"/>
      <c r="BA40" s="78"/>
      <c r="BB40" s="79"/>
      <c r="BC40" s="79"/>
      <c r="BD40" s="80"/>
      <c r="BE40" s="81"/>
      <c r="BF40" s="82"/>
      <c r="BG40" s="83"/>
      <c r="BH40" s="78"/>
      <c r="BI40" s="79"/>
      <c r="BJ40" s="79"/>
      <c r="BK40" s="80"/>
      <c r="BL40" s="81"/>
      <c r="BM40" s="82"/>
      <c r="BN40" s="83"/>
      <c r="BO40" s="78"/>
      <c r="BP40" s="79"/>
      <c r="BQ40" s="79"/>
      <c r="BR40" s="80"/>
      <c r="BS40" s="81"/>
      <c r="BT40" s="82"/>
      <c r="BU40" s="83"/>
      <c r="BV40" s="78"/>
      <c r="BW40" s="79"/>
      <c r="BX40" s="79"/>
      <c r="BY40" s="80"/>
      <c r="BZ40" s="81"/>
      <c r="CA40" s="82"/>
      <c r="CB40" s="83"/>
      <c r="CC40" s="78"/>
      <c r="CD40" s="79"/>
      <c r="CE40" s="79"/>
      <c r="CF40" s="80"/>
      <c r="CG40" s="81"/>
      <c r="CH40" s="82"/>
      <c r="CI40" s="83"/>
      <c r="CJ40" s="78"/>
      <c r="CK40" s="79"/>
      <c r="CL40" s="79"/>
      <c r="CM40" s="80"/>
      <c r="CN40" s="81"/>
      <c r="CO40" s="82"/>
      <c r="CP40" s="83"/>
      <c r="CQ40" s="78"/>
      <c r="CR40" s="79"/>
      <c r="CS40" s="79"/>
      <c r="CT40" s="80"/>
      <c r="CU40" s="81"/>
      <c r="CV40" s="82"/>
      <c r="CW40" s="83"/>
      <c r="CX40" s="78"/>
      <c r="CY40" s="79"/>
      <c r="CZ40" s="79"/>
      <c r="DA40" s="80"/>
      <c r="DB40" s="81"/>
      <c r="DC40" s="82"/>
      <c r="DD40" s="83"/>
      <c r="DE40" s="78"/>
      <c r="DF40" s="79"/>
      <c r="DG40" s="79"/>
      <c r="DH40" s="80"/>
      <c r="DI40" s="81"/>
      <c r="DJ40" s="82"/>
      <c r="DK40" s="83"/>
      <c r="DL40" s="78"/>
      <c r="DM40" s="79"/>
      <c r="DN40" s="79"/>
      <c r="DO40" s="80"/>
      <c r="DP40" s="81"/>
      <c r="DQ40" s="82"/>
      <c r="DR40" s="83"/>
      <c r="DS40" s="78"/>
      <c r="DT40" s="79"/>
      <c r="DU40" s="79"/>
      <c r="DV40" s="80"/>
      <c r="DW40" s="81"/>
      <c r="DX40" s="82"/>
      <c r="DY40" s="83"/>
      <c r="DZ40" s="78"/>
      <c r="EA40" s="79"/>
      <c r="EB40" s="79"/>
      <c r="EC40" s="80"/>
      <c r="ED40" s="81"/>
      <c r="EE40" s="82"/>
      <c r="EF40" s="83"/>
      <c r="EG40" s="78"/>
      <c r="EH40" s="79"/>
      <c r="EI40" s="79"/>
      <c r="EJ40" s="80"/>
      <c r="EK40" s="81"/>
      <c r="EL40" s="82"/>
      <c r="EM40" s="83"/>
      <c r="EN40" s="78"/>
      <c r="EO40" s="79"/>
      <c r="EP40" s="79"/>
      <c r="EQ40" s="80"/>
      <c r="ER40" s="81"/>
      <c r="ES40" s="82"/>
      <c r="ET40" s="83"/>
      <c r="EU40" s="78"/>
      <c r="EV40" s="79"/>
      <c r="EW40" s="79"/>
      <c r="EX40" s="80"/>
      <c r="EY40" s="81"/>
      <c r="EZ40" s="82"/>
      <c r="FA40" s="83"/>
      <c r="FB40" s="78"/>
      <c r="FC40" s="79"/>
      <c r="FD40" s="79"/>
      <c r="FE40" s="80"/>
      <c r="FF40" s="81"/>
      <c r="FG40" s="82"/>
      <c r="FH40" s="83"/>
      <c r="FI40" s="78"/>
      <c r="FJ40" s="79"/>
      <c r="FK40" s="79"/>
      <c r="FL40" s="80"/>
      <c r="FM40" s="81"/>
      <c r="FN40" s="82"/>
      <c r="FO40" s="83"/>
      <c r="FP40" s="78"/>
      <c r="FQ40" s="79"/>
      <c r="FR40" s="79"/>
      <c r="FS40" s="80"/>
      <c r="FT40" s="81"/>
      <c r="FU40" s="82"/>
      <c r="FV40" s="83"/>
      <c r="FW40" s="78"/>
      <c r="FX40" s="79"/>
      <c r="FY40" s="79"/>
      <c r="FZ40" s="80"/>
      <c r="GA40" s="81"/>
      <c r="GB40" s="82"/>
      <c r="GC40" s="83"/>
      <c r="GD40" s="78"/>
      <c r="GE40" s="79"/>
      <c r="GF40" s="79"/>
      <c r="GG40" s="80"/>
      <c r="GH40" s="81"/>
      <c r="GI40" s="82"/>
      <c r="GJ40" s="83"/>
      <c r="GK40" s="78"/>
      <c r="GL40" s="79"/>
      <c r="GM40" s="79"/>
      <c r="GN40" s="80"/>
      <c r="GO40" s="81"/>
      <c r="GP40" s="82"/>
      <c r="GQ40" s="83"/>
      <c r="GR40" s="78"/>
      <c r="GS40" s="79"/>
      <c r="GT40" s="79"/>
      <c r="GU40" s="80"/>
      <c r="GV40" s="81"/>
      <c r="GW40" s="82"/>
      <c r="GX40" s="83"/>
      <c r="GY40" s="78"/>
      <c r="GZ40" s="79"/>
      <c r="HA40" s="79"/>
      <c r="HB40" s="80"/>
      <c r="HC40" s="81"/>
      <c r="HD40" s="82"/>
      <c r="HE40" s="83"/>
      <c r="HF40" s="78"/>
      <c r="HG40" s="79"/>
      <c r="HH40" s="79"/>
      <c r="HI40" s="80"/>
      <c r="HJ40" s="81"/>
      <c r="HK40" s="82"/>
      <c r="HL40" s="83"/>
      <c r="HM40" s="78"/>
      <c r="HN40" s="79"/>
      <c r="HO40" s="79"/>
      <c r="HP40" s="80"/>
      <c r="HQ40" s="81"/>
      <c r="HR40" s="82"/>
      <c r="HS40" s="83"/>
      <c r="HT40" s="78"/>
      <c r="HU40" s="79"/>
      <c r="HV40" s="79"/>
      <c r="HW40" s="80"/>
      <c r="HX40" s="81"/>
      <c r="HY40" s="82"/>
      <c r="HZ40" s="83"/>
      <c r="IA40" s="78"/>
      <c r="IB40" s="79"/>
      <c r="IC40" s="79"/>
      <c r="ID40" s="80"/>
      <c r="IE40" s="81"/>
      <c r="IF40" s="82"/>
      <c r="IG40" s="83"/>
      <c r="IH40" s="78"/>
      <c r="II40" s="79"/>
      <c r="IJ40" s="79"/>
      <c r="IK40" s="80"/>
      <c r="IL40" s="81"/>
      <c r="IM40" s="82"/>
      <c r="IN40" s="83"/>
      <c r="IO40" s="78"/>
      <c r="IP40" s="79"/>
      <c r="IQ40" s="79"/>
      <c r="IR40" s="80"/>
      <c r="IS40" s="81"/>
      <c r="IT40" s="82"/>
      <c r="IU40" s="83"/>
      <c r="IV40" s="78"/>
      <c r="IW40" s="79"/>
      <c r="IX40" s="79"/>
      <c r="IY40" s="80"/>
      <c r="IZ40" s="81"/>
      <c r="JA40" s="82"/>
      <c r="JB40" s="83"/>
      <c r="JC40" s="78"/>
      <c r="JD40" s="79"/>
      <c r="JE40" s="79"/>
      <c r="JF40" s="80"/>
      <c r="JG40" s="81"/>
      <c r="JH40" s="82"/>
      <c r="JI40" s="83"/>
      <c r="JJ40" s="78"/>
      <c r="JK40" s="79"/>
      <c r="JL40" s="79"/>
      <c r="JM40" s="80"/>
      <c r="JN40" s="81"/>
      <c r="JO40" s="82"/>
      <c r="JP40" s="83"/>
      <c r="JQ40" s="78"/>
      <c r="JR40" s="79"/>
      <c r="JS40" s="79"/>
      <c r="JT40" s="80"/>
      <c r="JU40" s="81"/>
      <c r="JV40" s="82"/>
      <c r="JW40" s="83"/>
      <c r="JX40" s="78"/>
      <c r="JY40" s="79"/>
      <c r="JZ40" s="79"/>
      <c r="KA40" s="80"/>
      <c r="KB40" s="81"/>
      <c r="KC40" s="82"/>
      <c r="KD40" s="83"/>
      <c r="KE40" s="78"/>
      <c r="KF40" s="79"/>
      <c r="KG40" s="79"/>
      <c r="KH40" s="80"/>
      <c r="KI40" s="81"/>
      <c r="KJ40" s="82"/>
      <c r="KK40" s="83"/>
      <c r="KL40" s="78"/>
      <c r="KM40" s="79"/>
      <c r="KN40" s="79"/>
      <c r="KO40" s="80"/>
      <c r="KP40" s="81"/>
      <c r="KQ40" s="82"/>
      <c r="KR40" s="83"/>
      <c r="KS40" s="78"/>
      <c r="KT40" s="79"/>
      <c r="KU40" s="79"/>
      <c r="KV40" s="80"/>
      <c r="KW40" s="81"/>
      <c r="KX40" s="82"/>
      <c r="KY40" s="83"/>
      <c r="KZ40" s="78"/>
      <c r="LA40" s="79"/>
      <c r="LB40" s="79"/>
      <c r="LC40" s="80"/>
      <c r="LD40" s="81"/>
      <c r="LE40" s="82"/>
      <c r="LF40" s="83"/>
      <c r="LG40" s="78"/>
      <c r="LH40" s="79"/>
      <c r="LI40" s="79"/>
      <c r="LJ40" s="80"/>
      <c r="LK40" s="81"/>
      <c r="LL40" s="82"/>
      <c r="LM40" s="83"/>
      <c r="LN40" s="78"/>
      <c r="LO40" s="79"/>
      <c r="LP40" s="79"/>
      <c r="LQ40" s="80"/>
      <c r="LR40" s="81"/>
      <c r="LS40" s="82"/>
      <c r="LT40" s="83"/>
      <c r="LU40" s="78"/>
      <c r="LV40" s="79"/>
      <c r="LW40" s="79"/>
      <c r="LX40" s="80"/>
      <c r="LY40" s="81"/>
      <c r="LZ40" s="82"/>
      <c r="MA40" s="83"/>
      <c r="MB40" s="78"/>
      <c r="MC40" s="79"/>
      <c r="MD40" s="79"/>
      <c r="ME40" s="80"/>
      <c r="MF40" s="81"/>
      <c r="MG40" s="82"/>
      <c r="MH40" s="83"/>
      <c r="MI40" s="78"/>
      <c r="MJ40" s="79"/>
      <c r="MK40" s="79"/>
      <c r="ML40" s="80"/>
      <c r="MM40" s="81"/>
      <c r="MN40" s="82"/>
      <c r="MO40" s="83"/>
      <c r="MP40" s="78"/>
      <c r="MQ40" s="79"/>
      <c r="MR40" s="79"/>
      <c r="MS40" s="80"/>
      <c r="MT40" s="81"/>
      <c r="MU40" s="82"/>
      <c r="MV40" s="83"/>
      <c r="MW40" s="78"/>
      <c r="MX40" s="79"/>
      <c r="MY40" s="79"/>
      <c r="MZ40" s="80"/>
      <c r="NA40" s="81"/>
      <c r="NB40" s="82"/>
      <c r="NC40" s="83"/>
      <c r="ND40" s="78"/>
      <c r="NE40" s="79"/>
      <c r="NF40" s="79"/>
      <c r="NG40" s="80"/>
      <c r="NH40" s="81"/>
      <c r="NI40" s="82"/>
      <c r="NJ40" s="83"/>
      <c r="NK40" s="78"/>
      <c r="NL40" s="79"/>
      <c r="NM40" s="79"/>
      <c r="NN40" s="80"/>
      <c r="NO40" s="81"/>
      <c r="NP40" s="82"/>
      <c r="NQ40" s="83"/>
    </row>
    <row r="41" spans="1:381" ht="15" customHeight="1" x14ac:dyDescent="0.15">
      <c r="A41" s="65">
        <v>36</v>
      </c>
      <c r="B41" s="76"/>
      <c r="C41" s="77"/>
      <c r="D41" s="78"/>
      <c r="E41" s="79"/>
      <c r="F41" s="79"/>
      <c r="G41" s="80"/>
      <c r="H41" s="81"/>
      <c r="I41" s="82"/>
      <c r="J41" s="83"/>
      <c r="K41" s="78"/>
      <c r="L41" s="79"/>
      <c r="M41" s="79"/>
      <c r="N41" s="80"/>
      <c r="O41" s="81"/>
      <c r="P41" s="82"/>
      <c r="Q41" s="83"/>
      <c r="R41" s="78"/>
      <c r="S41" s="79"/>
      <c r="T41" s="79"/>
      <c r="U41" s="80"/>
      <c r="V41" s="81"/>
      <c r="W41" s="82"/>
      <c r="X41" s="83"/>
      <c r="Y41" s="78"/>
      <c r="Z41" s="79"/>
      <c r="AA41" s="79"/>
      <c r="AB41" s="80"/>
      <c r="AC41" s="81"/>
      <c r="AD41" s="82"/>
      <c r="AE41" s="83"/>
      <c r="AF41" s="78"/>
      <c r="AG41" s="79"/>
      <c r="AH41" s="79"/>
      <c r="AI41" s="80"/>
      <c r="AJ41" s="81"/>
      <c r="AK41" s="82"/>
      <c r="AL41" s="83"/>
      <c r="AM41" s="78"/>
      <c r="AN41" s="79"/>
      <c r="AO41" s="79"/>
      <c r="AP41" s="80"/>
      <c r="AQ41" s="81"/>
      <c r="AR41" s="82"/>
      <c r="AS41" s="83"/>
      <c r="AT41" s="78"/>
      <c r="AU41" s="79"/>
      <c r="AV41" s="79"/>
      <c r="AW41" s="80"/>
      <c r="AX41" s="81"/>
      <c r="AY41" s="82"/>
      <c r="AZ41" s="83"/>
      <c r="BA41" s="78"/>
      <c r="BB41" s="79"/>
      <c r="BC41" s="79"/>
      <c r="BD41" s="80"/>
      <c r="BE41" s="81"/>
      <c r="BF41" s="82"/>
      <c r="BG41" s="83"/>
      <c r="BH41" s="78"/>
      <c r="BI41" s="79"/>
      <c r="BJ41" s="79"/>
      <c r="BK41" s="80"/>
      <c r="BL41" s="81"/>
      <c r="BM41" s="82"/>
      <c r="BN41" s="83"/>
      <c r="BO41" s="78"/>
      <c r="BP41" s="79"/>
      <c r="BQ41" s="79"/>
      <c r="BR41" s="80"/>
      <c r="BS41" s="81"/>
      <c r="BT41" s="82"/>
      <c r="BU41" s="83"/>
      <c r="BV41" s="78"/>
      <c r="BW41" s="79"/>
      <c r="BX41" s="79"/>
      <c r="BY41" s="80"/>
      <c r="BZ41" s="81"/>
      <c r="CA41" s="82"/>
      <c r="CB41" s="83"/>
      <c r="CC41" s="78"/>
      <c r="CD41" s="79"/>
      <c r="CE41" s="79"/>
      <c r="CF41" s="80"/>
      <c r="CG41" s="81"/>
      <c r="CH41" s="82"/>
      <c r="CI41" s="83"/>
      <c r="CJ41" s="78"/>
      <c r="CK41" s="79"/>
      <c r="CL41" s="79"/>
      <c r="CM41" s="80"/>
      <c r="CN41" s="81"/>
      <c r="CO41" s="82"/>
      <c r="CP41" s="83"/>
      <c r="CQ41" s="78"/>
      <c r="CR41" s="79"/>
      <c r="CS41" s="79"/>
      <c r="CT41" s="80"/>
      <c r="CU41" s="81"/>
      <c r="CV41" s="82"/>
      <c r="CW41" s="83"/>
      <c r="CX41" s="78"/>
      <c r="CY41" s="79"/>
      <c r="CZ41" s="79"/>
      <c r="DA41" s="80"/>
      <c r="DB41" s="81"/>
      <c r="DC41" s="82"/>
      <c r="DD41" s="83"/>
      <c r="DE41" s="78"/>
      <c r="DF41" s="79"/>
      <c r="DG41" s="79"/>
      <c r="DH41" s="80"/>
      <c r="DI41" s="81"/>
      <c r="DJ41" s="82"/>
      <c r="DK41" s="83"/>
      <c r="DL41" s="78"/>
      <c r="DM41" s="79"/>
      <c r="DN41" s="79"/>
      <c r="DO41" s="80"/>
      <c r="DP41" s="81"/>
      <c r="DQ41" s="82"/>
      <c r="DR41" s="83"/>
      <c r="DS41" s="78"/>
      <c r="DT41" s="79"/>
      <c r="DU41" s="79"/>
      <c r="DV41" s="80"/>
      <c r="DW41" s="81"/>
      <c r="DX41" s="82"/>
      <c r="DY41" s="83"/>
      <c r="DZ41" s="78"/>
      <c r="EA41" s="79"/>
      <c r="EB41" s="79"/>
      <c r="EC41" s="80"/>
      <c r="ED41" s="81"/>
      <c r="EE41" s="82"/>
      <c r="EF41" s="83"/>
      <c r="EG41" s="78"/>
      <c r="EH41" s="79"/>
      <c r="EI41" s="79"/>
      <c r="EJ41" s="80"/>
      <c r="EK41" s="81"/>
      <c r="EL41" s="82"/>
      <c r="EM41" s="83"/>
      <c r="EN41" s="78"/>
      <c r="EO41" s="79"/>
      <c r="EP41" s="79"/>
      <c r="EQ41" s="80"/>
      <c r="ER41" s="81"/>
      <c r="ES41" s="82"/>
      <c r="ET41" s="83"/>
      <c r="EU41" s="78"/>
      <c r="EV41" s="79"/>
      <c r="EW41" s="79"/>
      <c r="EX41" s="80"/>
      <c r="EY41" s="81"/>
      <c r="EZ41" s="82"/>
      <c r="FA41" s="83"/>
      <c r="FB41" s="78"/>
      <c r="FC41" s="79"/>
      <c r="FD41" s="79"/>
      <c r="FE41" s="80"/>
      <c r="FF41" s="81"/>
      <c r="FG41" s="82"/>
      <c r="FH41" s="83"/>
      <c r="FI41" s="78"/>
      <c r="FJ41" s="79"/>
      <c r="FK41" s="79"/>
      <c r="FL41" s="80"/>
      <c r="FM41" s="81"/>
      <c r="FN41" s="82"/>
      <c r="FO41" s="83"/>
      <c r="FP41" s="78"/>
      <c r="FQ41" s="79"/>
      <c r="FR41" s="79"/>
      <c r="FS41" s="80"/>
      <c r="FT41" s="81"/>
      <c r="FU41" s="82"/>
      <c r="FV41" s="83"/>
      <c r="FW41" s="78"/>
      <c r="FX41" s="79"/>
      <c r="FY41" s="79"/>
      <c r="FZ41" s="80"/>
      <c r="GA41" s="81"/>
      <c r="GB41" s="82"/>
      <c r="GC41" s="83"/>
      <c r="GD41" s="78"/>
      <c r="GE41" s="79"/>
      <c r="GF41" s="79"/>
      <c r="GG41" s="80"/>
      <c r="GH41" s="81"/>
      <c r="GI41" s="82"/>
      <c r="GJ41" s="83"/>
      <c r="GK41" s="78"/>
      <c r="GL41" s="79"/>
      <c r="GM41" s="79"/>
      <c r="GN41" s="80"/>
      <c r="GO41" s="81"/>
      <c r="GP41" s="82"/>
      <c r="GQ41" s="83"/>
      <c r="GR41" s="78"/>
      <c r="GS41" s="79"/>
      <c r="GT41" s="79"/>
      <c r="GU41" s="80"/>
      <c r="GV41" s="81"/>
      <c r="GW41" s="82"/>
      <c r="GX41" s="83"/>
      <c r="GY41" s="78"/>
      <c r="GZ41" s="79"/>
      <c r="HA41" s="79"/>
      <c r="HB41" s="80"/>
      <c r="HC41" s="81"/>
      <c r="HD41" s="82"/>
      <c r="HE41" s="83"/>
      <c r="HF41" s="78"/>
      <c r="HG41" s="79"/>
      <c r="HH41" s="79"/>
      <c r="HI41" s="80"/>
      <c r="HJ41" s="81"/>
      <c r="HK41" s="82"/>
      <c r="HL41" s="83"/>
      <c r="HM41" s="78"/>
      <c r="HN41" s="79"/>
      <c r="HO41" s="79"/>
      <c r="HP41" s="80"/>
      <c r="HQ41" s="81"/>
      <c r="HR41" s="82"/>
      <c r="HS41" s="83"/>
      <c r="HT41" s="78"/>
      <c r="HU41" s="79"/>
      <c r="HV41" s="79"/>
      <c r="HW41" s="80"/>
      <c r="HX41" s="81"/>
      <c r="HY41" s="82"/>
      <c r="HZ41" s="83"/>
      <c r="IA41" s="78"/>
      <c r="IB41" s="79"/>
      <c r="IC41" s="79"/>
      <c r="ID41" s="80"/>
      <c r="IE41" s="81"/>
      <c r="IF41" s="82"/>
      <c r="IG41" s="83"/>
      <c r="IH41" s="78"/>
      <c r="II41" s="79"/>
      <c r="IJ41" s="79"/>
      <c r="IK41" s="80"/>
      <c r="IL41" s="81"/>
      <c r="IM41" s="82"/>
      <c r="IN41" s="83"/>
      <c r="IO41" s="78"/>
      <c r="IP41" s="79"/>
      <c r="IQ41" s="79"/>
      <c r="IR41" s="80"/>
      <c r="IS41" s="81"/>
      <c r="IT41" s="82"/>
      <c r="IU41" s="83"/>
      <c r="IV41" s="78"/>
      <c r="IW41" s="79"/>
      <c r="IX41" s="79"/>
      <c r="IY41" s="80"/>
      <c r="IZ41" s="81"/>
      <c r="JA41" s="82"/>
      <c r="JB41" s="83"/>
      <c r="JC41" s="78"/>
      <c r="JD41" s="79"/>
      <c r="JE41" s="79"/>
      <c r="JF41" s="80"/>
      <c r="JG41" s="81"/>
      <c r="JH41" s="82"/>
      <c r="JI41" s="83"/>
      <c r="JJ41" s="78"/>
      <c r="JK41" s="79"/>
      <c r="JL41" s="79"/>
      <c r="JM41" s="80"/>
      <c r="JN41" s="81"/>
      <c r="JO41" s="82"/>
      <c r="JP41" s="83"/>
      <c r="JQ41" s="78"/>
      <c r="JR41" s="79"/>
      <c r="JS41" s="79"/>
      <c r="JT41" s="80"/>
      <c r="JU41" s="81"/>
      <c r="JV41" s="82"/>
      <c r="JW41" s="83"/>
      <c r="JX41" s="78"/>
      <c r="JY41" s="79"/>
      <c r="JZ41" s="79"/>
      <c r="KA41" s="80"/>
      <c r="KB41" s="81"/>
      <c r="KC41" s="82"/>
      <c r="KD41" s="83"/>
      <c r="KE41" s="78"/>
      <c r="KF41" s="79"/>
      <c r="KG41" s="79"/>
      <c r="KH41" s="80"/>
      <c r="KI41" s="81"/>
      <c r="KJ41" s="82"/>
      <c r="KK41" s="83"/>
      <c r="KL41" s="78"/>
      <c r="KM41" s="79"/>
      <c r="KN41" s="79"/>
      <c r="KO41" s="80"/>
      <c r="KP41" s="81"/>
      <c r="KQ41" s="82"/>
      <c r="KR41" s="83"/>
      <c r="KS41" s="78"/>
      <c r="KT41" s="79"/>
      <c r="KU41" s="79"/>
      <c r="KV41" s="80"/>
      <c r="KW41" s="81"/>
      <c r="KX41" s="82"/>
      <c r="KY41" s="83"/>
      <c r="KZ41" s="78"/>
      <c r="LA41" s="79"/>
      <c r="LB41" s="79"/>
      <c r="LC41" s="80"/>
      <c r="LD41" s="81"/>
      <c r="LE41" s="82"/>
      <c r="LF41" s="83"/>
      <c r="LG41" s="78"/>
      <c r="LH41" s="79"/>
      <c r="LI41" s="79"/>
      <c r="LJ41" s="80"/>
      <c r="LK41" s="81"/>
      <c r="LL41" s="82"/>
      <c r="LM41" s="83"/>
      <c r="LN41" s="78"/>
      <c r="LO41" s="79"/>
      <c r="LP41" s="79"/>
      <c r="LQ41" s="80"/>
      <c r="LR41" s="81"/>
      <c r="LS41" s="82"/>
      <c r="LT41" s="83"/>
      <c r="LU41" s="78"/>
      <c r="LV41" s="79"/>
      <c r="LW41" s="79"/>
      <c r="LX41" s="80"/>
      <c r="LY41" s="81"/>
      <c r="LZ41" s="82"/>
      <c r="MA41" s="83"/>
      <c r="MB41" s="78"/>
      <c r="MC41" s="79"/>
      <c r="MD41" s="79"/>
      <c r="ME41" s="80"/>
      <c r="MF41" s="81"/>
      <c r="MG41" s="82"/>
      <c r="MH41" s="83"/>
      <c r="MI41" s="78"/>
      <c r="MJ41" s="79"/>
      <c r="MK41" s="79"/>
      <c r="ML41" s="80"/>
      <c r="MM41" s="81"/>
      <c r="MN41" s="82"/>
      <c r="MO41" s="83"/>
      <c r="MP41" s="78"/>
      <c r="MQ41" s="79"/>
      <c r="MR41" s="79"/>
      <c r="MS41" s="80"/>
      <c r="MT41" s="81"/>
      <c r="MU41" s="82"/>
      <c r="MV41" s="83"/>
      <c r="MW41" s="78"/>
      <c r="MX41" s="79"/>
      <c r="MY41" s="79"/>
      <c r="MZ41" s="80"/>
      <c r="NA41" s="81"/>
      <c r="NB41" s="82"/>
      <c r="NC41" s="83"/>
      <c r="ND41" s="78"/>
      <c r="NE41" s="79"/>
      <c r="NF41" s="79"/>
      <c r="NG41" s="80"/>
      <c r="NH41" s="81"/>
      <c r="NI41" s="82"/>
      <c r="NJ41" s="83"/>
      <c r="NK41" s="78"/>
      <c r="NL41" s="79"/>
      <c r="NM41" s="79"/>
      <c r="NN41" s="80"/>
      <c r="NO41" s="81"/>
      <c r="NP41" s="82"/>
      <c r="NQ41" s="83"/>
    </row>
    <row r="42" spans="1:381" ht="15" customHeight="1" x14ac:dyDescent="0.15">
      <c r="A42" s="65">
        <v>37</v>
      </c>
      <c r="B42" s="76"/>
      <c r="C42" s="77">
        <v>0.70833333333333304</v>
      </c>
      <c r="D42" s="78"/>
      <c r="E42" s="79"/>
      <c r="F42" s="79"/>
      <c r="G42" s="80"/>
      <c r="H42" s="81"/>
      <c r="I42" s="82"/>
      <c r="J42" s="83"/>
      <c r="K42" s="78"/>
      <c r="L42" s="79"/>
      <c r="M42" s="79"/>
      <c r="N42" s="80"/>
      <c r="O42" s="81"/>
      <c r="P42" s="82"/>
      <c r="Q42" s="83"/>
      <c r="R42" s="78"/>
      <c r="S42" s="79"/>
      <c r="T42" s="79"/>
      <c r="U42" s="80"/>
      <c r="V42" s="81"/>
      <c r="W42" s="82"/>
      <c r="X42" s="83"/>
      <c r="Y42" s="78"/>
      <c r="Z42" s="79"/>
      <c r="AA42" s="79"/>
      <c r="AB42" s="80"/>
      <c r="AC42" s="81"/>
      <c r="AD42" s="82"/>
      <c r="AE42" s="83"/>
      <c r="AF42" s="78"/>
      <c r="AG42" s="79"/>
      <c r="AH42" s="79"/>
      <c r="AI42" s="80"/>
      <c r="AJ42" s="81"/>
      <c r="AK42" s="82"/>
      <c r="AL42" s="83"/>
      <c r="AM42" s="78"/>
      <c r="AN42" s="79"/>
      <c r="AO42" s="79"/>
      <c r="AP42" s="80"/>
      <c r="AQ42" s="81"/>
      <c r="AR42" s="82"/>
      <c r="AS42" s="83"/>
      <c r="AT42" s="78"/>
      <c r="AU42" s="79"/>
      <c r="AV42" s="79"/>
      <c r="AW42" s="80"/>
      <c r="AX42" s="81"/>
      <c r="AY42" s="82"/>
      <c r="AZ42" s="83"/>
      <c r="BA42" s="78"/>
      <c r="BB42" s="79"/>
      <c r="BC42" s="79"/>
      <c r="BD42" s="80"/>
      <c r="BE42" s="81"/>
      <c r="BF42" s="82"/>
      <c r="BG42" s="83"/>
      <c r="BH42" s="78"/>
      <c r="BI42" s="79"/>
      <c r="BJ42" s="79"/>
      <c r="BK42" s="80"/>
      <c r="BL42" s="81"/>
      <c r="BM42" s="82"/>
      <c r="BN42" s="83"/>
      <c r="BO42" s="78"/>
      <c r="BP42" s="79"/>
      <c r="BQ42" s="79"/>
      <c r="BR42" s="80"/>
      <c r="BS42" s="81"/>
      <c r="BT42" s="82"/>
      <c r="BU42" s="83"/>
      <c r="BV42" s="78"/>
      <c r="BW42" s="79"/>
      <c r="BX42" s="79"/>
      <c r="BY42" s="80"/>
      <c r="BZ42" s="81"/>
      <c r="CA42" s="82"/>
      <c r="CB42" s="83"/>
      <c r="CC42" s="78"/>
      <c r="CD42" s="79"/>
      <c r="CE42" s="79"/>
      <c r="CF42" s="80"/>
      <c r="CG42" s="81"/>
      <c r="CH42" s="82"/>
      <c r="CI42" s="83"/>
      <c r="CJ42" s="78"/>
      <c r="CK42" s="79"/>
      <c r="CL42" s="79"/>
      <c r="CM42" s="80"/>
      <c r="CN42" s="81"/>
      <c r="CO42" s="82"/>
      <c r="CP42" s="83"/>
      <c r="CQ42" s="78"/>
      <c r="CR42" s="79"/>
      <c r="CS42" s="79"/>
      <c r="CT42" s="80"/>
      <c r="CU42" s="81"/>
      <c r="CV42" s="82"/>
      <c r="CW42" s="83"/>
      <c r="CX42" s="78"/>
      <c r="CY42" s="79"/>
      <c r="CZ42" s="79"/>
      <c r="DA42" s="80"/>
      <c r="DB42" s="81"/>
      <c r="DC42" s="82"/>
      <c r="DD42" s="83"/>
      <c r="DE42" s="78"/>
      <c r="DF42" s="79"/>
      <c r="DG42" s="79"/>
      <c r="DH42" s="80"/>
      <c r="DI42" s="81"/>
      <c r="DJ42" s="82"/>
      <c r="DK42" s="83"/>
      <c r="DL42" s="78"/>
      <c r="DM42" s="79"/>
      <c r="DN42" s="79"/>
      <c r="DO42" s="80"/>
      <c r="DP42" s="81"/>
      <c r="DQ42" s="82"/>
      <c r="DR42" s="83"/>
      <c r="DS42" s="78"/>
      <c r="DT42" s="79"/>
      <c r="DU42" s="79"/>
      <c r="DV42" s="80"/>
      <c r="DW42" s="81"/>
      <c r="DX42" s="82"/>
      <c r="DY42" s="83"/>
      <c r="DZ42" s="78"/>
      <c r="EA42" s="79"/>
      <c r="EB42" s="79"/>
      <c r="EC42" s="80"/>
      <c r="ED42" s="81"/>
      <c r="EE42" s="82"/>
      <c r="EF42" s="83"/>
      <c r="EG42" s="78"/>
      <c r="EH42" s="79"/>
      <c r="EI42" s="79"/>
      <c r="EJ42" s="80"/>
      <c r="EK42" s="81"/>
      <c r="EL42" s="82"/>
      <c r="EM42" s="83"/>
      <c r="EN42" s="78"/>
      <c r="EO42" s="79"/>
      <c r="EP42" s="79"/>
      <c r="EQ42" s="80"/>
      <c r="ER42" s="81"/>
      <c r="ES42" s="82"/>
      <c r="ET42" s="83"/>
      <c r="EU42" s="78"/>
      <c r="EV42" s="79"/>
      <c r="EW42" s="79"/>
      <c r="EX42" s="80"/>
      <c r="EY42" s="81"/>
      <c r="EZ42" s="82"/>
      <c r="FA42" s="83"/>
      <c r="FB42" s="78"/>
      <c r="FC42" s="79"/>
      <c r="FD42" s="79"/>
      <c r="FE42" s="80"/>
      <c r="FF42" s="81"/>
      <c r="FG42" s="82"/>
      <c r="FH42" s="83"/>
      <c r="FI42" s="78"/>
      <c r="FJ42" s="79"/>
      <c r="FK42" s="79"/>
      <c r="FL42" s="80"/>
      <c r="FM42" s="81"/>
      <c r="FN42" s="82"/>
      <c r="FO42" s="83"/>
      <c r="FP42" s="78"/>
      <c r="FQ42" s="79"/>
      <c r="FR42" s="79"/>
      <c r="FS42" s="80"/>
      <c r="FT42" s="81"/>
      <c r="FU42" s="82"/>
      <c r="FV42" s="83"/>
      <c r="FW42" s="78"/>
      <c r="FX42" s="79"/>
      <c r="FY42" s="79"/>
      <c r="FZ42" s="80"/>
      <c r="GA42" s="81"/>
      <c r="GB42" s="82"/>
      <c r="GC42" s="83"/>
      <c r="GD42" s="78"/>
      <c r="GE42" s="79"/>
      <c r="GF42" s="79"/>
      <c r="GG42" s="80"/>
      <c r="GH42" s="81"/>
      <c r="GI42" s="82"/>
      <c r="GJ42" s="83"/>
      <c r="GK42" s="78"/>
      <c r="GL42" s="79"/>
      <c r="GM42" s="79"/>
      <c r="GN42" s="80"/>
      <c r="GO42" s="81"/>
      <c r="GP42" s="82"/>
      <c r="GQ42" s="83"/>
      <c r="GR42" s="78"/>
      <c r="GS42" s="79"/>
      <c r="GT42" s="79"/>
      <c r="GU42" s="80"/>
      <c r="GV42" s="81"/>
      <c r="GW42" s="82"/>
      <c r="GX42" s="83"/>
      <c r="GY42" s="78"/>
      <c r="GZ42" s="79"/>
      <c r="HA42" s="79"/>
      <c r="HB42" s="80"/>
      <c r="HC42" s="81"/>
      <c r="HD42" s="82"/>
      <c r="HE42" s="83"/>
      <c r="HF42" s="78"/>
      <c r="HG42" s="79"/>
      <c r="HH42" s="79"/>
      <c r="HI42" s="80"/>
      <c r="HJ42" s="81"/>
      <c r="HK42" s="82"/>
      <c r="HL42" s="83"/>
      <c r="HM42" s="78"/>
      <c r="HN42" s="79"/>
      <c r="HO42" s="79"/>
      <c r="HP42" s="80"/>
      <c r="HQ42" s="81"/>
      <c r="HR42" s="82"/>
      <c r="HS42" s="83"/>
      <c r="HT42" s="78"/>
      <c r="HU42" s="79"/>
      <c r="HV42" s="79"/>
      <c r="HW42" s="80"/>
      <c r="HX42" s="81"/>
      <c r="HY42" s="82"/>
      <c r="HZ42" s="83"/>
      <c r="IA42" s="78"/>
      <c r="IB42" s="79"/>
      <c r="IC42" s="79"/>
      <c r="ID42" s="80"/>
      <c r="IE42" s="81"/>
      <c r="IF42" s="82"/>
      <c r="IG42" s="83"/>
      <c r="IH42" s="78"/>
      <c r="II42" s="79"/>
      <c r="IJ42" s="79"/>
      <c r="IK42" s="80"/>
      <c r="IL42" s="81"/>
      <c r="IM42" s="82"/>
      <c r="IN42" s="83"/>
      <c r="IO42" s="78"/>
      <c r="IP42" s="79"/>
      <c r="IQ42" s="79"/>
      <c r="IR42" s="80"/>
      <c r="IS42" s="81"/>
      <c r="IT42" s="82"/>
      <c r="IU42" s="83"/>
      <c r="IV42" s="78"/>
      <c r="IW42" s="79"/>
      <c r="IX42" s="79"/>
      <c r="IY42" s="80"/>
      <c r="IZ42" s="81"/>
      <c r="JA42" s="82"/>
      <c r="JB42" s="83"/>
      <c r="JC42" s="78"/>
      <c r="JD42" s="79"/>
      <c r="JE42" s="79"/>
      <c r="JF42" s="80"/>
      <c r="JG42" s="81"/>
      <c r="JH42" s="82"/>
      <c r="JI42" s="83"/>
      <c r="JJ42" s="78"/>
      <c r="JK42" s="79"/>
      <c r="JL42" s="79"/>
      <c r="JM42" s="80"/>
      <c r="JN42" s="81"/>
      <c r="JO42" s="82"/>
      <c r="JP42" s="83"/>
      <c r="JQ42" s="78"/>
      <c r="JR42" s="79"/>
      <c r="JS42" s="79"/>
      <c r="JT42" s="80"/>
      <c r="JU42" s="81"/>
      <c r="JV42" s="82"/>
      <c r="JW42" s="83"/>
      <c r="JX42" s="78"/>
      <c r="JY42" s="79"/>
      <c r="JZ42" s="79"/>
      <c r="KA42" s="80"/>
      <c r="KB42" s="81"/>
      <c r="KC42" s="82"/>
      <c r="KD42" s="83"/>
      <c r="KE42" s="78"/>
      <c r="KF42" s="79"/>
      <c r="KG42" s="79"/>
      <c r="KH42" s="80"/>
      <c r="KI42" s="81"/>
      <c r="KJ42" s="82"/>
      <c r="KK42" s="83"/>
      <c r="KL42" s="78"/>
      <c r="KM42" s="79"/>
      <c r="KN42" s="79"/>
      <c r="KO42" s="80"/>
      <c r="KP42" s="81"/>
      <c r="KQ42" s="82"/>
      <c r="KR42" s="83"/>
      <c r="KS42" s="78"/>
      <c r="KT42" s="79"/>
      <c r="KU42" s="79"/>
      <c r="KV42" s="80"/>
      <c r="KW42" s="81"/>
      <c r="KX42" s="82"/>
      <c r="KY42" s="83"/>
      <c r="KZ42" s="78"/>
      <c r="LA42" s="79"/>
      <c r="LB42" s="79"/>
      <c r="LC42" s="80"/>
      <c r="LD42" s="81"/>
      <c r="LE42" s="82"/>
      <c r="LF42" s="83"/>
      <c r="LG42" s="78"/>
      <c r="LH42" s="79"/>
      <c r="LI42" s="79"/>
      <c r="LJ42" s="80"/>
      <c r="LK42" s="81"/>
      <c r="LL42" s="82"/>
      <c r="LM42" s="83"/>
      <c r="LN42" s="78"/>
      <c r="LO42" s="79"/>
      <c r="LP42" s="79"/>
      <c r="LQ42" s="80"/>
      <c r="LR42" s="81"/>
      <c r="LS42" s="82"/>
      <c r="LT42" s="83"/>
      <c r="LU42" s="78"/>
      <c r="LV42" s="79"/>
      <c r="LW42" s="79"/>
      <c r="LX42" s="80"/>
      <c r="LY42" s="81"/>
      <c r="LZ42" s="82"/>
      <c r="MA42" s="83"/>
      <c r="MB42" s="78"/>
      <c r="MC42" s="79"/>
      <c r="MD42" s="79"/>
      <c r="ME42" s="80"/>
      <c r="MF42" s="81"/>
      <c r="MG42" s="82"/>
      <c r="MH42" s="83"/>
      <c r="MI42" s="78"/>
      <c r="MJ42" s="79"/>
      <c r="MK42" s="79"/>
      <c r="ML42" s="80"/>
      <c r="MM42" s="81"/>
      <c r="MN42" s="82"/>
      <c r="MO42" s="83"/>
      <c r="MP42" s="78"/>
      <c r="MQ42" s="79"/>
      <c r="MR42" s="79"/>
      <c r="MS42" s="80"/>
      <c r="MT42" s="81"/>
      <c r="MU42" s="82"/>
      <c r="MV42" s="83"/>
      <c r="MW42" s="78"/>
      <c r="MX42" s="79"/>
      <c r="MY42" s="79"/>
      <c r="MZ42" s="80"/>
      <c r="NA42" s="81"/>
      <c r="NB42" s="82"/>
      <c r="NC42" s="83"/>
      <c r="ND42" s="78"/>
      <c r="NE42" s="79"/>
      <c r="NF42" s="79"/>
      <c r="NG42" s="80"/>
      <c r="NH42" s="81"/>
      <c r="NI42" s="82"/>
      <c r="NJ42" s="83"/>
      <c r="NK42" s="78"/>
      <c r="NL42" s="79"/>
      <c r="NM42" s="79"/>
      <c r="NN42" s="80"/>
      <c r="NO42" s="81"/>
      <c r="NP42" s="82"/>
      <c r="NQ42" s="83"/>
    </row>
    <row r="43" spans="1:381" ht="15" customHeight="1" x14ac:dyDescent="0.15">
      <c r="A43" s="65">
        <v>38</v>
      </c>
      <c r="B43" s="76"/>
      <c r="C43" s="77"/>
      <c r="D43" s="78"/>
      <c r="E43" s="79"/>
      <c r="F43" s="79"/>
      <c r="G43" s="80"/>
      <c r="H43" s="81"/>
      <c r="I43" s="82"/>
      <c r="J43" s="83"/>
      <c r="K43" s="78"/>
      <c r="L43" s="79"/>
      <c r="M43" s="79"/>
      <c r="N43" s="80"/>
      <c r="O43" s="81"/>
      <c r="P43" s="82"/>
      <c r="Q43" s="83"/>
      <c r="R43" s="78"/>
      <c r="S43" s="79"/>
      <c r="T43" s="79"/>
      <c r="U43" s="80"/>
      <c r="V43" s="81"/>
      <c r="W43" s="82"/>
      <c r="X43" s="83"/>
      <c r="Y43" s="78"/>
      <c r="Z43" s="79"/>
      <c r="AA43" s="79"/>
      <c r="AB43" s="80"/>
      <c r="AC43" s="81"/>
      <c r="AD43" s="82"/>
      <c r="AE43" s="83"/>
      <c r="AF43" s="78"/>
      <c r="AG43" s="79"/>
      <c r="AH43" s="79"/>
      <c r="AI43" s="80"/>
      <c r="AJ43" s="81"/>
      <c r="AK43" s="82"/>
      <c r="AL43" s="83"/>
      <c r="AM43" s="78"/>
      <c r="AN43" s="79"/>
      <c r="AO43" s="79"/>
      <c r="AP43" s="80"/>
      <c r="AQ43" s="81"/>
      <c r="AR43" s="82"/>
      <c r="AS43" s="83"/>
      <c r="AT43" s="78"/>
      <c r="AU43" s="79"/>
      <c r="AV43" s="79"/>
      <c r="AW43" s="80"/>
      <c r="AX43" s="81"/>
      <c r="AY43" s="82"/>
      <c r="AZ43" s="83"/>
      <c r="BA43" s="78"/>
      <c r="BB43" s="79"/>
      <c r="BC43" s="79"/>
      <c r="BD43" s="80"/>
      <c r="BE43" s="81"/>
      <c r="BF43" s="82"/>
      <c r="BG43" s="83"/>
      <c r="BH43" s="78"/>
      <c r="BI43" s="79"/>
      <c r="BJ43" s="79"/>
      <c r="BK43" s="80"/>
      <c r="BL43" s="81"/>
      <c r="BM43" s="82"/>
      <c r="BN43" s="83"/>
      <c r="BO43" s="78"/>
      <c r="BP43" s="79"/>
      <c r="BQ43" s="79"/>
      <c r="BR43" s="80"/>
      <c r="BS43" s="81"/>
      <c r="BT43" s="82"/>
      <c r="BU43" s="83"/>
      <c r="BV43" s="78"/>
      <c r="BW43" s="79"/>
      <c r="BX43" s="79"/>
      <c r="BY43" s="80"/>
      <c r="BZ43" s="81"/>
      <c r="CA43" s="82"/>
      <c r="CB43" s="83"/>
      <c r="CC43" s="78"/>
      <c r="CD43" s="79"/>
      <c r="CE43" s="79"/>
      <c r="CF43" s="80"/>
      <c r="CG43" s="81"/>
      <c r="CH43" s="82"/>
      <c r="CI43" s="83"/>
      <c r="CJ43" s="78"/>
      <c r="CK43" s="79"/>
      <c r="CL43" s="79"/>
      <c r="CM43" s="80"/>
      <c r="CN43" s="81"/>
      <c r="CO43" s="82"/>
      <c r="CP43" s="83"/>
      <c r="CQ43" s="78"/>
      <c r="CR43" s="79"/>
      <c r="CS43" s="79"/>
      <c r="CT43" s="80"/>
      <c r="CU43" s="81"/>
      <c r="CV43" s="82"/>
      <c r="CW43" s="83"/>
      <c r="CX43" s="78"/>
      <c r="CY43" s="79"/>
      <c r="CZ43" s="79"/>
      <c r="DA43" s="80"/>
      <c r="DB43" s="81"/>
      <c r="DC43" s="82"/>
      <c r="DD43" s="83"/>
      <c r="DE43" s="78"/>
      <c r="DF43" s="79"/>
      <c r="DG43" s="79"/>
      <c r="DH43" s="80"/>
      <c r="DI43" s="81"/>
      <c r="DJ43" s="82"/>
      <c r="DK43" s="83"/>
      <c r="DL43" s="78"/>
      <c r="DM43" s="79"/>
      <c r="DN43" s="79"/>
      <c r="DO43" s="80"/>
      <c r="DP43" s="81"/>
      <c r="DQ43" s="82"/>
      <c r="DR43" s="83"/>
      <c r="DS43" s="78"/>
      <c r="DT43" s="79"/>
      <c r="DU43" s="79"/>
      <c r="DV43" s="80"/>
      <c r="DW43" s="81"/>
      <c r="DX43" s="82"/>
      <c r="DY43" s="83"/>
      <c r="DZ43" s="78"/>
      <c r="EA43" s="79"/>
      <c r="EB43" s="79"/>
      <c r="EC43" s="80"/>
      <c r="ED43" s="81"/>
      <c r="EE43" s="82"/>
      <c r="EF43" s="83"/>
      <c r="EG43" s="78"/>
      <c r="EH43" s="79"/>
      <c r="EI43" s="79"/>
      <c r="EJ43" s="80"/>
      <c r="EK43" s="81"/>
      <c r="EL43" s="82"/>
      <c r="EM43" s="83"/>
      <c r="EN43" s="78"/>
      <c r="EO43" s="79"/>
      <c r="EP43" s="79"/>
      <c r="EQ43" s="80"/>
      <c r="ER43" s="81"/>
      <c r="ES43" s="82"/>
      <c r="ET43" s="83"/>
      <c r="EU43" s="78"/>
      <c r="EV43" s="79"/>
      <c r="EW43" s="79"/>
      <c r="EX43" s="80"/>
      <c r="EY43" s="81"/>
      <c r="EZ43" s="82"/>
      <c r="FA43" s="83"/>
      <c r="FB43" s="78"/>
      <c r="FC43" s="79"/>
      <c r="FD43" s="79"/>
      <c r="FE43" s="80"/>
      <c r="FF43" s="81"/>
      <c r="FG43" s="82"/>
      <c r="FH43" s="83"/>
      <c r="FI43" s="78"/>
      <c r="FJ43" s="79"/>
      <c r="FK43" s="79"/>
      <c r="FL43" s="80"/>
      <c r="FM43" s="81"/>
      <c r="FN43" s="82"/>
      <c r="FO43" s="83"/>
      <c r="FP43" s="78"/>
      <c r="FQ43" s="79"/>
      <c r="FR43" s="79"/>
      <c r="FS43" s="80"/>
      <c r="FT43" s="81"/>
      <c r="FU43" s="82"/>
      <c r="FV43" s="83"/>
      <c r="FW43" s="78"/>
      <c r="FX43" s="79"/>
      <c r="FY43" s="79"/>
      <c r="FZ43" s="80"/>
      <c r="GA43" s="81"/>
      <c r="GB43" s="82"/>
      <c r="GC43" s="83"/>
      <c r="GD43" s="78"/>
      <c r="GE43" s="79"/>
      <c r="GF43" s="79"/>
      <c r="GG43" s="80"/>
      <c r="GH43" s="81"/>
      <c r="GI43" s="82"/>
      <c r="GJ43" s="83"/>
      <c r="GK43" s="78"/>
      <c r="GL43" s="79"/>
      <c r="GM43" s="79"/>
      <c r="GN43" s="80"/>
      <c r="GO43" s="81"/>
      <c r="GP43" s="82"/>
      <c r="GQ43" s="83"/>
      <c r="GR43" s="78"/>
      <c r="GS43" s="79"/>
      <c r="GT43" s="79"/>
      <c r="GU43" s="80"/>
      <c r="GV43" s="81"/>
      <c r="GW43" s="82"/>
      <c r="GX43" s="83"/>
      <c r="GY43" s="78"/>
      <c r="GZ43" s="79"/>
      <c r="HA43" s="79"/>
      <c r="HB43" s="80"/>
      <c r="HC43" s="81"/>
      <c r="HD43" s="82"/>
      <c r="HE43" s="83"/>
      <c r="HF43" s="78"/>
      <c r="HG43" s="79"/>
      <c r="HH43" s="79"/>
      <c r="HI43" s="80"/>
      <c r="HJ43" s="81"/>
      <c r="HK43" s="82"/>
      <c r="HL43" s="83"/>
      <c r="HM43" s="78"/>
      <c r="HN43" s="79"/>
      <c r="HO43" s="79"/>
      <c r="HP43" s="80"/>
      <c r="HQ43" s="81"/>
      <c r="HR43" s="82"/>
      <c r="HS43" s="83"/>
      <c r="HT43" s="78"/>
      <c r="HU43" s="79"/>
      <c r="HV43" s="79"/>
      <c r="HW43" s="80"/>
      <c r="HX43" s="81"/>
      <c r="HY43" s="82"/>
      <c r="HZ43" s="83"/>
      <c r="IA43" s="78"/>
      <c r="IB43" s="79"/>
      <c r="IC43" s="79"/>
      <c r="ID43" s="80"/>
      <c r="IE43" s="81"/>
      <c r="IF43" s="82"/>
      <c r="IG43" s="83"/>
      <c r="IH43" s="78"/>
      <c r="II43" s="79"/>
      <c r="IJ43" s="79"/>
      <c r="IK43" s="80"/>
      <c r="IL43" s="81"/>
      <c r="IM43" s="82"/>
      <c r="IN43" s="83"/>
      <c r="IO43" s="78"/>
      <c r="IP43" s="79"/>
      <c r="IQ43" s="79"/>
      <c r="IR43" s="80"/>
      <c r="IS43" s="81"/>
      <c r="IT43" s="82"/>
      <c r="IU43" s="83"/>
      <c r="IV43" s="78"/>
      <c r="IW43" s="79"/>
      <c r="IX43" s="79"/>
      <c r="IY43" s="80"/>
      <c r="IZ43" s="81"/>
      <c r="JA43" s="82"/>
      <c r="JB43" s="83"/>
      <c r="JC43" s="78"/>
      <c r="JD43" s="79"/>
      <c r="JE43" s="79"/>
      <c r="JF43" s="80"/>
      <c r="JG43" s="81"/>
      <c r="JH43" s="82"/>
      <c r="JI43" s="83"/>
      <c r="JJ43" s="78"/>
      <c r="JK43" s="79"/>
      <c r="JL43" s="79"/>
      <c r="JM43" s="80"/>
      <c r="JN43" s="81"/>
      <c r="JO43" s="82"/>
      <c r="JP43" s="83"/>
      <c r="JQ43" s="78"/>
      <c r="JR43" s="79"/>
      <c r="JS43" s="79"/>
      <c r="JT43" s="80"/>
      <c r="JU43" s="81"/>
      <c r="JV43" s="82"/>
      <c r="JW43" s="83"/>
      <c r="JX43" s="78"/>
      <c r="JY43" s="79"/>
      <c r="JZ43" s="79"/>
      <c r="KA43" s="80"/>
      <c r="KB43" s="81"/>
      <c r="KC43" s="82"/>
      <c r="KD43" s="83"/>
      <c r="KE43" s="78"/>
      <c r="KF43" s="79"/>
      <c r="KG43" s="79"/>
      <c r="KH43" s="80"/>
      <c r="KI43" s="81"/>
      <c r="KJ43" s="82"/>
      <c r="KK43" s="83"/>
      <c r="KL43" s="78"/>
      <c r="KM43" s="79"/>
      <c r="KN43" s="79"/>
      <c r="KO43" s="80"/>
      <c r="KP43" s="81"/>
      <c r="KQ43" s="82"/>
      <c r="KR43" s="83"/>
      <c r="KS43" s="78"/>
      <c r="KT43" s="79"/>
      <c r="KU43" s="79"/>
      <c r="KV43" s="80"/>
      <c r="KW43" s="81"/>
      <c r="KX43" s="82"/>
      <c r="KY43" s="83"/>
      <c r="KZ43" s="78"/>
      <c r="LA43" s="79"/>
      <c r="LB43" s="79"/>
      <c r="LC43" s="80"/>
      <c r="LD43" s="81"/>
      <c r="LE43" s="82"/>
      <c r="LF43" s="83"/>
      <c r="LG43" s="78"/>
      <c r="LH43" s="79"/>
      <c r="LI43" s="79"/>
      <c r="LJ43" s="80"/>
      <c r="LK43" s="81"/>
      <c r="LL43" s="82"/>
      <c r="LM43" s="83"/>
      <c r="LN43" s="78"/>
      <c r="LO43" s="79"/>
      <c r="LP43" s="79"/>
      <c r="LQ43" s="80"/>
      <c r="LR43" s="81"/>
      <c r="LS43" s="82"/>
      <c r="LT43" s="83"/>
      <c r="LU43" s="78"/>
      <c r="LV43" s="79"/>
      <c r="LW43" s="79"/>
      <c r="LX43" s="80"/>
      <c r="LY43" s="81"/>
      <c r="LZ43" s="82"/>
      <c r="MA43" s="83"/>
      <c r="MB43" s="78"/>
      <c r="MC43" s="79"/>
      <c r="MD43" s="79"/>
      <c r="ME43" s="80"/>
      <c r="MF43" s="81"/>
      <c r="MG43" s="82"/>
      <c r="MH43" s="83"/>
      <c r="MI43" s="78"/>
      <c r="MJ43" s="79"/>
      <c r="MK43" s="79"/>
      <c r="ML43" s="80"/>
      <c r="MM43" s="81"/>
      <c r="MN43" s="82"/>
      <c r="MO43" s="83"/>
      <c r="MP43" s="78"/>
      <c r="MQ43" s="79"/>
      <c r="MR43" s="79"/>
      <c r="MS43" s="80"/>
      <c r="MT43" s="81"/>
      <c r="MU43" s="82"/>
      <c r="MV43" s="83"/>
      <c r="MW43" s="78"/>
      <c r="MX43" s="79"/>
      <c r="MY43" s="79"/>
      <c r="MZ43" s="80"/>
      <c r="NA43" s="81"/>
      <c r="NB43" s="82"/>
      <c r="NC43" s="83"/>
      <c r="ND43" s="78"/>
      <c r="NE43" s="79"/>
      <c r="NF43" s="79"/>
      <c r="NG43" s="80"/>
      <c r="NH43" s="81"/>
      <c r="NI43" s="82"/>
      <c r="NJ43" s="83"/>
      <c r="NK43" s="78"/>
      <c r="NL43" s="79"/>
      <c r="NM43" s="79"/>
      <c r="NN43" s="80"/>
      <c r="NO43" s="81"/>
      <c r="NP43" s="82"/>
      <c r="NQ43" s="83"/>
    </row>
    <row r="44" spans="1:381" ht="15" customHeight="1" x14ac:dyDescent="0.15">
      <c r="A44" s="65">
        <v>39</v>
      </c>
      <c r="B44" s="76"/>
      <c r="C44" s="77">
        <v>0.75</v>
      </c>
      <c r="D44" s="78"/>
      <c r="E44" s="79"/>
      <c r="F44" s="79"/>
      <c r="G44" s="80"/>
      <c r="H44" s="81"/>
      <c r="I44" s="82"/>
      <c r="J44" s="83"/>
      <c r="K44" s="78"/>
      <c r="L44" s="79"/>
      <c r="M44" s="79"/>
      <c r="N44" s="80"/>
      <c r="O44" s="81"/>
      <c r="P44" s="82"/>
      <c r="Q44" s="83"/>
      <c r="R44" s="78"/>
      <c r="S44" s="79"/>
      <c r="T44" s="79"/>
      <c r="U44" s="80"/>
      <c r="V44" s="81"/>
      <c r="W44" s="82"/>
      <c r="X44" s="83"/>
      <c r="Y44" s="78"/>
      <c r="Z44" s="79"/>
      <c r="AA44" s="79"/>
      <c r="AB44" s="80"/>
      <c r="AC44" s="81"/>
      <c r="AD44" s="82"/>
      <c r="AE44" s="83"/>
      <c r="AF44" s="78"/>
      <c r="AG44" s="79"/>
      <c r="AH44" s="79"/>
      <c r="AI44" s="80"/>
      <c r="AJ44" s="81"/>
      <c r="AK44" s="82"/>
      <c r="AL44" s="83"/>
      <c r="AM44" s="78"/>
      <c r="AN44" s="79"/>
      <c r="AO44" s="79"/>
      <c r="AP44" s="80"/>
      <c r="AQ44" s="81"/>
      <c r="AR44" s="82"/>
      <c r="AS44" s="83"/>
      <c r="AT44" s="78"/>
      <c r="AU44" s="79"/>
      <c r="AV44" s="79"/>
      <c r="AW44" s="80"/>
      <c r="AX44" s="81"/>
      <c r="AY44" s="82"/>
      <c r="AZ44" s="83"/>
      <c r="BA44" s="78"/>
      <c r="BB44" s="79"/>
      <c r="BC44" s="79"/>
      <c r="BD44" s="80"/>
      <c r="BE44" s="81"/>
      <c r="BF44" s="82"/>
      <c r="BG44" s="83"/>
      <c r="BH44" s="78"/>
      <c r="BI44" s="79"/>
      <c r="BJ44" s="79"/>
      <c r="BK44" s="80"/>
      <c r="BL44" s="81"/>
      <c r="BM44" s="82"/>
      <c r="BN44" s="83"/>
      <c r="BO44" s="78"/>
      <c r="BP44" s="79"/>
      <c r="BQ44" s="79"/>
      <c r="BR44" s="80"/>
      <c r="BS44" s="81"/>
      <c r="BT44" s="82"/>
      <c r="BU44" s="83"/>
      <c r="BV44" s="78"/>
      <c r="BW44" s="79"/>
      <c r="BX44" s="79"/>
      <c r="BY44" s="80"/>
      <c r="BZ44" s="81"/>
      <c r="CA44" s="82"/>
      <c r="CB44" s="83"/>
      <c r="CC44" s="78"/>
      <c r="CD44" s="79"/>
      <c r="CE44" s="79"/>
      <c r="CF44" s="80"/>
      <c r="CG44" s="81"/>
      <c r="CH44" s="82"/>
      <c r="CI44" s="83"/>
      <c r="CJ44" s="78"/>
      <c r="CK44" s="79"/>
      <c r="CL44" s="79"/>
      <c r="CM44" s="80"/>
      <c r="CN44" s="81"/>
      <c r="CO44" s="82"/>
      <c r="CP44" s="83"/>
      <c r="CQ44" s="78"/>
      <c r="CR44" s="79"/>
      <c r="CS44" s="79"/>
      <c r="CT44" s="80"/>
      <c r="CU44" s="81"/>
      <c r="CV44" s="82"/>
      <c r="CW44" s="83"/>
      <c r="CX44" s="78"/>
      <c r="CY44" s="79"/>
      <c r="CZ44" s="79"/>
      <c r="DA44" s="80"/>
      <c r="DB44" s="81"/>
      <c r="DC44" s="82"/>
      <c r="DD44" s="83"/>
      <c r="DE44" s="78"/>
      <c r="DF44" s="79"/>
      <c r="DG44" s="79"/>
      <c r="DH44" s="80"/>
      <c r="DI44" s="81"/>
      <c r="DJ44" s="82"/>
      <c r="DK44" s="83"/>
      <c r="DL44" s="78"/>
      <c r="DM44" s="79"/>
      <c r="DN44" s="79"/>
      <c r="DO44" s="80"/>
      <c r="DP44" s="81"/>
      <c r="DQ44" s="82"/>
      <c r="DR44" s="83"/>
      <c r="DS44" s="78"/>
      <c r="DT44" s="79"/>
      <c r="DU44" s="79"/>
      <c r="DV44" s="80"/>
      <c r="DW44" s="81"/>
      <c r="DX44" s="82"/>
      <c r="DY44" s="83"/>
      <c r="DZ44" s="78"/>
      <c r="EA44" s="79"/>
      <c r="EB44" s="79"/>
      <c r="EC44" s="80"/>
      <c r="ED44" s="81"/>
      <c r="EE44" s="82"/>
      <c r="EF44" s="83"/>
      <c r="EG44" s="78"/>
      <c r="EH44" s="79"/>
      <c r="EI44" s="79"/>
      <c r="EJ44" s="80"/>
      <c r="EK44" s="81"/>
      <c r="EL44" s="82"/>
      <c r="EM44" s="83"/>
      <c r="EN44" s="78"/>
      <c r="EO44" s="79"/>
      <c r="EP44" s="79"/>
      <c r="EQ44" s="80"/>
      <c r="ER44" s="81"/>
      <c r="ES44" s="82"/>
      <c r="ET44" s="83"/>
      <c r="EU44" s="78"/>
      <c r="EV44" s="79"/>
      <c r="EW44" s="79"/>
      <c r="EX44" s="80"/>
      <c r="EY44" s="81"/>
      <c r="EZ44" s="82"/>
      <c r="FA44" s="83"/>
      <c r="FB44" s="78"/>
      <c r="FC44" s="79"/>
      <c r="FD44" s="79"/>
      <c r="FE44" s="80"/>
      <c r="FF44" s="81"/>
      <c r="FG44" s="82"/>
      <c r="FH44" s="83"/>
      <c r="FI44" s="78"/>
      <c r="FJ44" s="79"/>
      <c r="FK44" s="79"/>
      <c r="FL44" s="80"/>
      <c r="FM44" s="81"/>
      <c r="FN44" s="82"/>
      <c r="FO44" s="83"/>
      <c r="FP44" s="78"/>
      <c r="FQ44" s="79"/>
      <c r="FR44" s="79"/>
      <c r="FS44" s="80"/>
      <c r="FT44" s="81"/>
      <c r="FU44" s="82"/>
      <c r="FV44" s="83"/>
      <c r="FW44" s="78"/>
      <c r="FX44" s="79"/>
      <c r="FY44" s="79"/>
      <c r="FZ44" s="80"/>
      <c r="GA44" s="81"/>
      <c r="GB44" s="82"/>
      <c r="GC44" s="83"/>
      <c r="GD44" s="78"/>
      <c r="GE44" s="79"/>
      <c r="GF44" s="79"/>
      <c r="GG44" s="80"/>
      <c r="GH44" s="81"/>
      <c r="GI44" s="82"/>
      <c r="GJ44" s="83"/>
      <c r="GK44" s="78"/>
      <c r="GL44" s="79"/>
      <c r="GM44" s="79"/>
      <c r="GN44" s="80"/>
      <c r="GO44" s="81"/>
      <c r="GP44" s="82"/>
      <c r="GQ44" s="83"/>
      <c r="GR44" s="78"/>
      <c r="GS44" s="79"/>
      <c r="GT44" s="79"/>
      <c r="GU44" s="80"/>
      <c r="GV44" s="81"/>
      <c r="GW44" s="82"/>
      <c r="GX44" s="83"/>
      <c r="GY44" s="78"/>
      <c r="GZ44" s="79"/>
      <c r="HA44" s="79"/>
      <c r="HB44" s="80"/>
      <c r="HC44" s="81"/>
      <c r="HD44" s="82"/>
      <c r="HE44" s="83"/>
      <c r="HF44" s="78"/>
      <c r="HG44" s="79"/>
      <c r="HH44" s="79"/>
      <c r="HI44" s="80"/>
      <c r="HJ44" s="81"/>
      <c r="HK44" s="82"/>
      <c r="HL44" s="83"/>
      <c r="HM44" s="78"/>
      <c r="HN44" s="79"/>
      <c r="HO44" s="79"/>
      <c r="HP44" s="80"/>
      <c r="HQ44" s="81"/>
      <c r="HR44" s="82"/>
      <c r="HS44" s="83"/>
      <c r="HT44" s="78"/>
      <c r="HU44" s="79"/>
      <c r="HV44" s="79"/>
      <c r="HW44" s="80"/>
      <c r="HX44" s="81"/>
      <c r="HY44" s="82"/>
      <c r="HZ44" s="83"/>
      <c r="IA44" s="78"/>
      <c r="IB44" s="79"/>
      <c r="IC44" s="79"/>
      <c r="ID44" s="80"/>
      <c r="IE44" s="81"/>
      <c r="IF44" s="82"/>
      <c r="IG44" s="83"/>
      <c r="IH44" s="78"/>
      <c r="II44" s="79"/>
      <c r="IJ44" s="79"/>
      <c r="IK44" s="80"/>
      <c r="IL44" s="81"/>
      <c r="IM44" s="82"/>
      <c r="IN44" s="83"/>
      <c r="IO44" s="78"/>
      <c r="IP44" s="79"/>
      <c r="IQ44" s="79"/>
      <c r="IR44" s="80"/>
      <c r="IS44" s="81"/>
      <c r="IT44" s="82"/>
      <c r="IU44" s="83"/>
      <c r="IV44" s="78"/>
      <c r="IW44" s="79"/>
      <c r="IX44" s="79"/>
      <c r="IY44" s="80"/>
      <c r="IZ44" s="81"/>
      <c r="JA44" s="82"/>
      <c r="JB44" s="83"/>
      <c r="JC44" s="78"/>
      <c r="JD44" s="79"/>
      <c r="JE44" s="79"/>
      <c r="JF44" s="80"/>
      <c r="JG44" s="81"/>
      <c r="JH44" s="82"/>
      <c r="JI44" s="83"/>
      <c r="JJ44" s="78"/>
      <c r="JK44" s="79"/>
      <c r="JL44" s="79"/>
      <c r="JM44" s="80"/>
      <c r="JN44" s="81"/>
      <c r="JO44" s="82"/>
      <c r="JP44" s="83"/>
      <c r="JQ44" s="78"/>
      <c r="JR44" s="79"/>
      <c r="JS44" s="79"/>
      <c r="JT44" s="80"/>
      <c r="JU44" s="81"/>
      <c r="JV44" s="82"/>
      <c r="JW44" s="83"/>
      <c r="JX44" s="78"/>
      <c r="JY44" s="79"/>
      <c r="JZ44" s="79"/>
      <c r="KA44" s="80"/>
      <c r="KB44" s="81"/>
      <c r="KC44" s="82"/>
      <c r="KD44" s="83"/>
      <c r="KE44" s="78"/>
      <c r="KF44" s="79"/>
      <c r="KG44" s="79"/>
      <c r="KH44" s="80"/>
      <c r="KI44" s="81"/>
      <c r="KJ44" s="82"/>
      <c r="KK44" s="83"/>
      <c r="KL44" s="78"/>
      <c r="KM44" s="79"/>
      <c r="KN44" s="79"/>
      <c r="KO44" s="80"/>
      <c r="KP44" s="81"/>
      <c r="KQ44" s="82"/>
      <c r="KR44" s="83"/>
      <c r="KS44" s="78"/>
      <c r="KT44" s="79"/>
      <c r="KU44" s="79"/>
      <c r="KV44" s="80"/>
      <c r="KW44" s="81"/>
      <c r="KX44" s="82"/>
      <c r="KY44" s="83"/>
      <c r="KZ44" s="78"/>
      <c r="LA44" s="79"/>
      <c r="LB44" s="79"/>
      <c r="LC44" s="80"/>
      <c r="LD44" s="81"/>
      <c r="LE44" s="82"/>
      <c r="LF44" s="83"/>
      <c r="LG44" s="78"/>
      <c r="LH44" s="79"/>
      <c r="LI44" s="79"/>
      <c r="LJ44" s="80"/>
      <c r="LK44" s="81"/>
      <c r="LL44" s="82"/>
      <c r="LM44" s="83"/>
      <c r="LN44" s="78"/>
      <c r="LO44" s="79"/>
      <c r="LP44" s="79"/>
      <c r="LQ44" s="80"/>
      <c r="LR44" s="81"/>
      <c r="LS44" s="82"/>
      <c r="LT44" s="83"/>
      <c r="LU44" s="78"/>
      <c r="LV44" s="79"/>
      <c r="LW44" s="79"/>
      <c r="LX44" s="80"/>
      <c r="LY44" s="81"/>
      <c r="LZ44" s="82"/>
      <c r="MA44" s="83"/>
      <c r="MB44" s="78"/>
      <c r="MC44" s="79"/>
      <c r="MD44" s="79"/>
      <c r="ME44" s="80"/>
      <c r="MF44" s="81"/>
      <c r="MG44" s="82"/>
      <c r="MH44" s="83"/>
      <c r="MI44" s="78"/>
      <c r="MJ44" s="79"/>
      <c r="MK44" s="79"/>
      <c r="ML44" s="80"/>
      <c r="MM44" s="81"/>
      <c r="MN44" s="82"/>
      <c r="MO44" s="83"/>
      <c r="MP44" s="78"/>
      <c r="MQ44" s="79"/>
      <c r="MR44" s="79"/>
      <c r="MS44" s="80"/>
      <c r="MT44" s="81"/>
      <c r="MU44" s="82"/>
      <c r="MV44" s="83"/>
      <c r="MW44" s="78"/>
      <c r="MX44" s="79"/>
      <c r="MY44" s="79"/>
      <c r="MZ44" s="80"/>
      <c r="NA44" s="81"/>
      <c r="NB44" s="82"/>
      <c r="NC44" s="83"/>
      <c r="ND44" s="78"/>
      <c r="NE44" s="79"/>
      <c r="NF44" s="79"/>
      <c r="NG44" s="80"/>
      <c r="NH44" s="81"/>
      <c r="NI44" s="82"/>
      <c r="NJ44" s="83"/>
      <c r="NK44" s="78"/>
      <c r="NL44" s="79"/>
      <c r="NM44" s="79"/>
      <c r="NN44" s="80"/>
      <c r="NO44" s="81"/>
      <c r="NP44" s="82"/>
      <c r="NQ44" s="83"/>
    </row>
    <row r="45" spans="1:381" ht="15" customHeight="1" x14ac:dyDescent="0.15">
      <c r="A45" s="65">
        <v>40</v>
      </c>
      <c r="B45" s="76"/>
      <c r="C45" s="77"/>
      <c r="D45" s="78"/>
      <c r="E45" s="79"/>
      <c r="F45" s="79"/>
      <c r="G45" s="80"/>
      <c r="H45" s="81"/>
      <c r="I45" s="82"/>
      <c r="J45" s="83"/>
      <c r="K45" s="78"/>
      <c r="L45" s="79"/>
      <c r="M45" s="79"/>
      <c r="N45" s="80"/>
      <c r="O45" s="81"/>
      <c r="P45" s="82"/>
      <c r="Q45" s="83"/>
      <c r="R45" s="78"/>
      <c r="S45" s="79"/>
      <c r="T45" s="79"/>
      <c r="U45" s="80"/>
      <c r="V45" s="81"/>
      <c r="W45" s="82"/>
      <c r="X45" s="83"/>
      <c r="Y45" s="78"/>
      <c r="Z45" s="79"/>
      <c r="AA45" s="79"/>
      <c r="AB45" s="80"/>
      <c r="AC45" s="81"/>
      <c r="AD45" s="82"/>
      <c r="AE45" s="83"/>
      <c r="AF45" s="78"/>
      <c r="AG45" s="79"/>
      <c r="AH45" s="79"/>
      <c r="AI45" s="80"/>
      <c r="AJ45" s="81"/>
      <c r="AK45" s="82"/>
      <c r="AL45" s="83"/>
      <c r="AM45" s="78"/>
      <c r="AN45" s="79"/>
      <c r="AO45" s="79"/>
      <c r="AP45" s="80"/>
      <c r="AQ45" s="81"/>
      <c r="AR45" s="82"/>
      <c r="AS45" s="83"/>
      <c r="AT45" s="78"/>
      <c r="AU45" s="79"/>
      <c r="AV45" s="79"/>
      <c r="AW45" s="80"/>
      <c r="AX45" s="81"/>
      <c r="AY45" s="82"/>
      <c r="AZ45" s="83"/>
      <c r="BA45" s="78"/>
      <c r="BB45" s="79"/>
      <c r="BC45" s="79"/>
      <c r="BD45" s="80"/>
      <c r="BE45" s="81"/>
      <c r="BF45" s="82"/>
      <c r="BG45" s="83"/>
      <c r="BH45" s="78"/>
      <c r="BI45" s="79"/>
      <c r="BJ45" s="79"/>
      <c r="BK45" s="80"/>
      <c r="BL45" s="81"/>
      <c r="BM45" s="82"/>
      <c r="BN45" s="83"/>
      <c r="BO45" s="78"/>
      <c r="BP45" s="79"/>
      <c r="BQ45" s="79"/>
      <c r="BR45" s="80"/>
      <c r="BS45" s="81"/>
      <c r="BT45" s="82"/>
      <c r="BU45" s="83"/>
      <c r="BV45" s="78"/>
      <c r="BW45" s="79"/>
      <c r="BX45" s="79"/>
      <c r="BY45" s="80"/>
      <c r="BZ45" s="81"/>
      <c r="CA45" s="82"/>
      <c r="CB45" s="83"/>
      <c r="CC45" s="78"/>
      <c r="CD45" s="79"/>
      <c r="CE45" s="79"/>
      <c r="CF45" s="80"/>
      <c r="CG45" s="81"/>
      <c r="CH45" s="82"/>
      <c r="CI45" s="83"/>
      <c r="CJ45" s="78"/>
      <c r="CK45" s="79"/>
      <c r="CL45" s="79"/>
      <c r="CM45" s="80"/>
      <c r="CN45" s="81"/>
      <c r="CO45" s="82"/>
      <c r="CP45" s="83"/>
      <c r="CQ45" s="78"/>
      <c r="CR45" s="79"/>
      <c r="CS45" s="79"/>
      <c r="CT45" s="80"/>
      <c r="CU45" s="81"/>
      <c r="CV45" s="82"/>
      <c r="CW45" s="83"/>
      <c r="CX45" s="78"/>
      <c r="CY45" s="79"/>
      <c r="CZ45" s="79"/>
      <c r="DA45" s="80"/>
      <c r="DB45" s="81"/>
      <c r="DC45" s="82"/>
      <c r="DD45" s="83"/>
      <c r="DE45" s="78"/>
      <c r="DF45" s="79"/>
      <c r="DG45" s="79"/>
      <c r="DH45" s="80"/>
      <c r="DI45" s="81"/>
      <c r="DJ45" s="82"/>
      <c r="DK45" s="83"/>
      <c r="DL45" s="78"/>
      <c r="DM45" s="79"/>
      <c r="DN45" s="79"/>
      <c r="DO45" s="80"/>
      <c r="DP45" s="81"/>
      <c r="DQ45" s="82"/>
      <c r="DR45" s="83"/>
      <c r="DS45" s="78"/>
      <c r="DT45" s="79"/>
      <c r="DU45" s="79"/>
      <c r="DV45" s="80"/>
      <c r="DW45" s="81"/>
      <c r="DX45" s="82"/>
      <c r="DY45" s="83"/>
      <c r="DZ45" s="78"/>
      <c r="EA45" s="79"/>
      <c r="EB45" s="79"/>
      <c r="EC45" s="80"/>
      <c r="ED45" s="81"/>
      <c r="EE45" s="82"/>
      <c r="EF45" s="83"/>
      <c r="EG45" s="78"/>
      <c r="EH45" s="79"/>
      <c r="EI45" s="79"/>
      <c r="EJ45" s="80"/>
      <c r="EK45" s="81"/>
      <c r="EL45" s="82"/>
      <c r="EM45" s="83"/>
      <c r="EN45" s="78"/>
      <c r="EO45" s="79"/>
      <c r="EP45" s="79"/>
      <c r="EQ45" s="80"/>
      <c r="ER45" s="81"/>
      <c r="ES45" s="82"/>
      <c r="ET45" s="83"/>
      <c r="EU45" s="78"/>
      <c r="EV45" s="79"/>
      <c r="EW45" s="79"/>
      <c r="EX45" s="80"/>
      <c r="EY45" s="81"/>
      <c r="EZ45" s="82"/>
      <c r="FA45" s="83"/>
      <c r="FB45" s="78"/>
      <c r="FC45" s="79"/>
      <c r="FD45" s="79"/>
      <c r="FE45" s="80"/>
      <c r="FF45" s="81"/>
      <c r="FG45" s="82"/>
      <c r="FH45" s="83"/>
      <c r="FI45" s="78"/>
      <c r="FJ45" s="79"/>
      <c r="FK45" s="79"/>
      <c r="FL45" s="80"/>
      <c r="FM45" s="81"/>
      <c r="FN45" s="82"/>
      <c r="FO45" s="83"/>
      <c r="FP45" s="78"/>
      <c r="FQ45" s="79"/>
      <c r="FR45" s="79"/>
      <c r="FS45" s="80"/>
      <c r="FT45" s="81"/>
      <c r="FU45" s="82"/>
      <c r="FV45" s="83"/>
      <c r="FW45" s="78"/>
      <c r="FX45" s="79"/>
      <c r="FY45" s="79"/>
      <c r="FZ45" s="80"/>
      <c r="GA45" s="81"/>
      <c r="GB45" s="82"/>
      <c r="GC45" s="83"/>
      <c r="GD45" s="78"/>
      <c r="GE45" s="79"/>
      <c r="GF45" s="79"/>
      <c r="GG45" s="80"/>
      <c r="GH45" s="81"/>
      <c r="GI45" s="82"/>
      <c r="GJ45" s="83"/>
      <c r="GK45" s="78"/>
      <c r="GL45" s="79"/>
      <c r="GM45" s="79"/>
      <c r="GN45" s="80"/>
      <c r="GO45" s="81"/>
      <c r="GP45" s="82"/>
      <c r="GQ45" s="83"/>
      <c r="GR45" s="78"/>
      <c r="GS45" s="79"/>
      <c r="GT45" s="79"/>
      <c r="GU45" s="80"/>
      <c r="GV45" s="81"/>
      <c r="GW45" s="82"/>
      <c r="GX45" s="83"/>
      <c r="GY45" s="78"/>
      <c r="GZ45" s="79"/>
      <c r="HA45" s="79"/>
      <c r="HB45" s="80"/>
      <c r="HC45" s="81"/>
      <c r="HD45" s="82"/>
      <c r="HE45" s="83"/>
      <c r="HF45" s="78"/>
      <c r="HG45" s="79"/>
      <c r="HH45" s="79"/>
      <c r="HI45" s="80"/>
      <c r="HJ45" s="81"/>
      <c r="HK45" s="82"/>
      <c r="HL45" s="83"/>
      <c r="HM45" s="78"/>
      <c r="HN45" s="79"/>
      <c r="HO45" s="79"/>
      <c r="HP45" s="80"/>
      <c r="HQ45" s="81"/>
      <c r="HR45" s="82"/>
      <c r="HS45" s="83"/>
      <c r="HT45" s="78"/>
      <c r="HU45" s="79"/>
      <c r="HV45" s="79"/>
      <c r="HW45" s="80"/>
      <c r="HX45" s="81"/>
      <c r="HY45" s="82"/>
      <c r="HZ45" s="83"/>
      <c r="IA45" s="78"/>
      <c r="IB45" s="79"/>
      <c r="IC45" s="79"/>
      <c r="ID45" s="80"/>
      <c r="IE45" s="81"/>
      <c r="IF45" s="82"/>
      <c r="IG45" s="83"/>
      <c r="IH45" s="78"/>
      <c r="II45" s="79"/>
      <c r="IJ45" s="79"/>
      <c r="IK45" s="80"/>
      <c r="IL45" s="81"/>
      <c r="IM45" s="82"/>
      <c r="IN45" s="83"/>
      <c r="IO45" s="78"/>
      <c r="IP45" s="79"/>
      <c r="IQ45" s="79"/>
      <c r="IR45" s="80"/>
      <c r="IS45" s="81"/>
      <c r="IT45" s="82"/>
      <c r="IU45" s="83"/>
      <c r="IV45" s="78"/>
      <c r="IW45" s="79"/>
      <c r="IX45" s="79"/>
      <c r="IY45" s="80"/>
      <c r="IZ45" s="81"/>
      <c r="JA45" s="82"/>
      <c r="JB45" s="83"/>
      <c r="JC45" s="78"/>
      <c r="JD45" s="79"/>
      <c r="JE45" s="79"/>
      <c r="JF45" s="80"/>
      <c r="JG45" s="81"/>
      <c r="JH45" s="82"/>
      <c r="JI45" s="83"/>
      <c r="JJ45" s="78"/>
      <c r="JK45" s="79"/>
      <c r="JL45" s="79"/>
      <c r="JM45" s="80"/>
      <c r="JN45" s="81"/>
      <c r="JO45" s="82"/>
      <c r="JP45" s="83"/>
      <c r="JQ45" s="78"/>
      <c r="JR45" s="79"/>
      <c r="JS45" s="79"/>
      <c r="JT45" s="80"/>
      <c r="JU45" s="81"/>
      <c r="JV45" s="82"/>
      <c r="JW45" s="83"/>
      <c r="JX45" s="78"/>
      <c r="JY45" s="79"/>
      <c r="JZ45" s="79"/>
      <c r="KA45" s="80"/>
      <c r="KB45" s="81"/>
      <c r="KC45" s="82"/>
      <c r="KD45" s="83"/>
      <c r="KE45" s="78"/>
      <c r="KF45" s="79"/>
      <c r="KG45" s="79"/>
      <c r="KH45" s="80"/>
      <c r="KI45" s="81"/>
      <c r="KJ45" s="82"/>
      <c r="KK45" s="83"/>
      <c r="KL45" s="78"/>
      <c r="KM45" s="79"/>
      <c r="KN45" s="79"/>
      <c r="KO45" s="80"/>
      <c r="KP45" s="81"/>
      <c r="KQ45" s="82"/>
      <c r="KR45" s="83"/>
      <c r="KS45" s="78"/>
      <c r="KT45" s="79"/>
      <c r="KU45" s="79"/>
      <c r="KV45" s="80"/>
      <c r="KW45" s="81"/>
      <c r="KX45" s="82"/>
      <c r="KY45" s="83"/>
      <c r="KZ45" s="78"/>
      <c r="LA45" s="79"/>
      <c r="LB45" s="79"/>
      <c r="LC45" s="80"/>
      <c r="LD45" s="81"/>
      <c r="LE45" s="82"/>
      <c r="LF45" s="83"/>
      <c r="LG45" s="78"/>
      <c r="LH45" s="79"/>
      <c r="LI45" s="79"/>
      <c r="LJ45" s="80"/>
      <c r="LK45" s="81"/>
      <c r="LL45" s="82"/>
      <c r="LM45" s="83"/>
      <c r="LN45" s="78"/>
      <c r="LO45" s="79"/>
      <c r="LP45" s="79"/>
      <c r="LQ45" s="80"/>
      <c r="LR45" s="81"/>
      <c r="LS45" s="82"/>
      <c r="LT45" s="83"/>
      <c r="LU45" s="78"/>
      <c r="LV45" s="79"/>
      <c r="LW45" s="79"/>
      <c r="LX45" s="80"/>
      <c r="LY45" s="81"/>
      <c r="LZ45" s="82"/>
      <c r="MA45" s="83"/>
      <c r="MB45" s="78"/>
      <c r="MC45" s="79"/>
      <c r="MD45" s="79"/>
      <c r="ME45" s="80"/>
      <c r="MF45" s="81"/>
      <c r="MG45" s="82"/>
      <c r="MH45" s="83"/>
      <c r="MI45" s="78"/>
      <c r="MJ45" s="79"/>
      <c r="MK45" s="79"/>
      <c r="ML45" s="80"/>
      <c r="MM45" s="81"/>
      <c r="MN45" s="82"/>
      <c r="MO45" s="83"/>
      <c r="MP45" s="78"/>
      <c r="MQ45" s="79"/>
      <c r="MR45" s="79"/>
      <c r="MS45" s="80"/>
      <c r="MT45" s="81"/>
      <c r="MU45" s="82"/>
      <c r="MV45" s="83"/>
      <c r="MW45" s="78"/>
      <c r="MX45" s="79"/>
      <c r="MY45" s="79"/>
      <c r="MZ45" s="80"/>
      <c r="NA45" s="81"/>
      <c r="NB45" s="82"/>
      <c r="NC45" s="83"/>
      <c r="ND45" s="78"/>
      <c r="NE45" s="79"/>
      <c r="NF45" s="79"/>
      <c r="NG45" s="80"/>
      <c r="NH45" s="81"/>
      <c r="NI45" s="82"/>
      <c r="NJ45" s="83"/>
      <c r="NK45" s="78"/>
      <c r="NL45" s="79"/>
      <c r="NM45" s="79"/>
      <c r="NN45" s="80"/>
      <c r="NO45" s="81"/>
      <c r="NP45" s="82"/>
      <c r="NQ45" s="83"/>
    </row>
    <row r="46" spans="1:381" ht="15" customHeight="1" x14ac:dyDescent="0.15">
      <c r="A46" s="65">
        <v>41</v>
      </c>
      <c r="B46" s="76"/>
      <c r="C46" s="77">
        <v>0.79166666666667096</v>
      </c>
      <c r="D46" s="78"/>
      <c r="E46" s="79"/>
      <c r="F46" s="79"/>
      <c r="G46" s="80"/>
      <c r="H46" s="81"/>
      <c r="I46" s="82"/>
      <c r="J46" s="83"/>
      <c r="K46" s="78"/>
      <c r="L46" s="79"/>
      <c r="M46" s="79"/>
      <c r="N46" s="80"/>
      <c r="O46" s="81"/>
      <c r="P46" s="82"/>
      <c r="Q46" s="83"/>
      <c r="R46" s="78"/>
      <c r="S46" s="79"/>
      <c r="T46" s="79"/>
      <c r="U46" s="80"/>
      <c r="V46" s="81"/>
      <c r="W46" s="82"/>
      <c r="X46" s="83"/>
      <c r="Y46" s="78"/>
      <c r="Z46" s="79"/>
      <c r="AA46" s="79"/>
      <c r="AB46" s="80"/>
      <c r="AC46" s="81"/>
      <c r="AD46" s="82"/>
      <c r="AE46" s="83"/>
      <c r="AF46" s="78"/>
      <c r="AG46" s="79"/>
      <c r="AH46" s="79"/>
      <c r="AI46" s="80"/>
      <c r="AJ46" s="81"/>
      <c r="AK46" s="82"/>
      <c r="AL46" s="83"/>
      <c r="AM46" s="78"/>
      <c r="AN46" s="79"/>
      <c r="AO46" s="79"/>
      <c r="AP46" s="80"/>
      <c r="AQ46" s="81"/>
      <c r="AR46" s="82"/>
      <c r="AS46" s="83"/>
      <c r="AT46" s="78"/>
      <c r="AU46" s="79"/>
      <c r="AV46" s="79"/>
      <c r="AW46" s="80"/>
      <c r="AX46" s="81"/>
      <c r="AY46" s="82"/>
      <c r="AZ46" s="83"/>
      <c r="BA46" s="78"/>
      <c r="BB46" s="79"/>
      <c r="BC46" s="79"/>
      <c r="BD46" s="80"/>
      <c r="BE46" s="81"/>
      <c r="BF46" s="82"/>
      <c r="BG46" s="83"/>
      <c r="BH46" s="78"/>
      <c r="BI46" s="79"/>
      <c r="BJ46" s="79"/>
      <c r="BK46" s="80"/>
      <c r="BL46" s="81"/>
      <c r="BM46" s="82"/>
      <c r="BN46" s="83"/>
      <c r="BO46" s="78"/>
      <c r="BP46" s="79"/>
      <c r="BQ46" s="79"/>
      <c r="BR46" s="80"/>
      <c r="BS46" s="81"/>
      <c r="BT46" s="82"/>
      <c r="BU46" s="83"/>
      <c r="BV46" s="78"/>
      <c r="BW46" s="79"/>
      <c r="BX46" s="79"/>
      <c r="BY46" s="80"/>
      <c r="BZ46" s="81"/>
      <c r="CA46" s="82"/>
      <c r="CB46" s="83"/>
      <c r="CC46" s="78"/>
      <c r="CD46" s="79"/>
      <c r="CE46" s="79"/>
      <c r="CF46" s="80"/>
      <c r="CG46" s="81"/>
      <c r="CH46" s="82"/>
      <c r="CI46" s="83"/>
      <c r="CJ46" s="78"/>
      <c r="CK46" s="79"/>
      <c r="CL46" s="79"/>
      <c r="CM46" s="80"/>
      <c r="CN46" s="81"/>
      <c r="CO46" s="82"/>
      <c r="CP46" s="83"/>
      <c r="CQ46" s="78"/>
      <c r="CR46" s="79"/>
      <c r="CS46" s="79"/>
      <c r="CT46" s="80"/>
      <c r="CU46" s="81"/>
      <c r="CV46" s="82"/>
      <c r="CW46" s="83"/>
      <c r="CX46" s="78"/>
      <c r="CY46" s="79"/>
      <c r="CZ46" s="79"/>
      <c r="DA46" s="80"/>
      <c r="DB46" s="81"/>
      <c r="DC46" s="82"/>
      <c r="DD46" s="83"/>
      <c r="DE46" s="78"/>
      <c r="DF46" s="79"/>
      <c r="DG46" s="79"/>
      <c r="DH46" s="80"/>
      <c r="DI46" s="81"/>
      <c r="DJ46" s="82"/>
      <c r="DK46" s="83"/>
      <c r="DL46" s="78"/>
      <c r="DM46" s="79"/>
      <c r="DN46" s="79"/>
      <c r="DO46" s="80"/>
      <c r="DP46" s="81"/>
      <c r="DQ46" s="82"/>
      <c r="DR46" s="83"/>
      <c r="DS46" s="78"/>
      <c r="DT46" s="79"/>
      <c r="DU46" s="79"/>
      <c r="DV46" s="80"/>
      <c r="DW46" s="81"/>
      <c r="DX46" s="82"/>
      <c r="DY46" s="83"/>
      <c r="DZ46" s="78"/>
      <c r="EA46" s="79"/>
      <c r="EB46" s="79"/>
      <c r="EC46" s="80"/>
      <c r="ED46" s="81"/>
      <c r="EE46" s="82"/>
      <c r="EF46" s="83"/>
      <c r="EG46" s="78"/>
      <c r="EH46" s="79"/>
      <c r="EI46" s="79"/>
      <c r="EJ46" s="80"/>
      <c r="EK46" s="81"/>
      <c r="EL46" s="82"/>
      <c r="EM46" s="83"/>
      <c r="EN46" s="78"/>
      <c r="EO46" s="79"/>
      <c r="EP46" s="79"/>
      <c r="EQ46" s="80"/>
      <c r="ER46" s="81"/>
      <c r="ES46" s="82"/>
      <c r="ET46" s="83"/>
      <c r="EU46" s="78"/>
      <c r="EV46" s="79"/>
      <c r="EW46" s="79"/>
      <c r="EX46" s="80"/>
      <c r="EY46" s="81"/>
      <c r="EZ46" s="82"/>
      <c r="FA46" s="83"/>
      <c r="FB46" s="78"/>
      <c r="FC46" s="79"/>
      <c r="FD46" s="79"/>
      <c r="FE46" s="80"/>
      <c r="FF46" s="81"/>
      <c r="FG46" s="82"/>
      <c r="FH46" s="83"/>
      <c r="FI46" s="78"/>
      <c r="FJ46" s="79"/>
      <c r="FK46" s="79"/>
      <c r="FL46" s="80"/>
      <c r="FM46" s="81"/>
      <c r="FN46" s="82"/>
      <c r="FO46" s="83"/>
      <c r="FP46" s="78"/>
      <c r="FQ46" s="79"/>
      <c r="FR46" s="79"/>
      <c r="FS46" s="80"/>
      <c r="FT46" s="81"/>
      <c r="FU46" s="82"/>
      <c r="FV46" s="83"/>
      <c r="FW46" s="78"/>
      <c r="FX46" s="79"/>
      <c r="FY46" s="79"/>
      <c r="FZ46" s="80"/>
      <c r="GA46" s="81"/>
      <c r="GB46" s="82"/>
      <c r="GC46" s="83"/>
      <c r="GD46" s="78"/>
      <c r="GE46" s="79"/>
      <c r="GF46" s="79"/>
      <c r="GG46" s="80"/>
      <c r="GH46" s="81"/>
      <c r="GI46" s="82"/>
      <c r="GJ46" s="83"/>
      <c r="GK46" s="78"/>
      <c r="GL46" s="79"/>
      <c r="GM46" s="79"/>
      <c r="GN46" s="80"/>
      <c r="GO46" s="81"/>
      <c r="GP46" s="82"/>
      <c r="GQ46" s="83"/>
      <c r="GR46" s="78"/>
      <c r="GS46" s="79"/>
      <c r="GT46" s="79"/>
      <c r="GU46" s="80"/>
      <c r="GV46" s="81"/>
      <c r="GW46" s="82"/>
      <c r="GX46" s="83"/>
      <c r="GY46" s="78"/>
      <c r="GZ46" s="79"/>
      <c r="HA46" s="79"/>
      <c r="HB46" s="80"/>
      <c r="HC46" s="81"/>
      <c r="HD46" s="82"/>
      <c r="HE46" s="83"/>
      <c r="HF46" s="78"/>
      <c r="HG46" s="79"/>
      <c r="HH46" s="79"/>
      <c r="HI46" s="80"/>
      <c r="HJ46" s="81"/>
      <c r="HK46" s="82"/>
      <c r="HL46" s="83"/>
      <c r="HM46" s="78"/>
      <c r="HN46" s="79"/>
      <c r="HO46" s="79"/>
      <c r="HP46" s="80"/>
      <c r="HQ46" s="81"/>
      <c r="HR46" s="82"/>
      <c r="HS46" s="83"/>
      <c r="HT46" s="78"/>
      <c r="HU46" s="79"/>
      <c r="HV46" s="79"/>
      <c r="HW46" s="80"/>
      <c r="HX46" s="81"/>
      <c r="HY46" s="82"/>
      <c r="HZ46" s="83"/>
      <c r="IA46" s="78"/>
      <c r="IB46" s="79"/>
      <c r="IC46" s="79"/>
      <c r="ID46" s="80"/>
      <c r="IE46" s="81"/>
      <c r="IF46" s="82"/>
      <c r="IG46" s="83"/>
      <c r="IH46" s="78"/>
      <c r="II46" s="79"/>
      <c r="IJ46" s="79"/>
      <c r="IK46" s="80"/>
      <c r="IL46" s="81"/>
      <c r="IM46" s="82"/>
      <c r="IN46" s="83"/>
      <c r="IO46" s="78"/>
      <c r="IP46" s="79"/>
      <c r="IQ46" s="79"/>
      <c r="IR46" s="80"/>
      <c r="IS46" s="81"/>
      <c r="IT46" s="82"/>
      <c r="IU46" s="83"/>
      <c r="IV46" s="78"/>
      <c r="IW46" s="79"/>
      <c r="IX46" s="79"/>
      <c r="IY46" s="80"/>
      <c r="IZ46" s="81"/>
      <c r="JA46" s="82"/>
      <c r="JB46" s="83"/>
      <c r="JC46" s="78"/>
      <c r="JD46" s="79"/>
      <c r="JE46" s="79"/>
      <c r="JF46" s="80"/>
      <c r="JG46" s="81"/>
      <c r="JH46" s="82"/>
      <c r="JI46" s="83"/>
      <c r="JJ46" s="78"/>
      <c r="JK46" s="79"/>
      <c r="JL46" s="79"/>
      <c r="JM46" s="80"/>
      <c r="JN46" s="81"/>
      <c r="JO46" s="82"/>
      <c r="JP46" s="83"/>
      <c r="JQ46" s="78"/>
      <c r="JR46" s="79"/>
      <c r="JS46" s="79"/>
      <c r="JT46" s="80"/>
      <c r="JU46" s="81"/>
      <c r="JV46" s="82"/>
      <c r="JW46" s="83"/>
      <c r="JX46" s="78"/>
      <c r="JY46" s="79"/>
      <c r="JZ46" s="79"/>
      <c r="KA46" s="80"/>
      <c r="KB46" s="81"/>
      <c r="KC46" s="82"/>
      <c r="KD46" s="83"/>
      <c r="KE46" s="78"/>
      <c r="KF46" s="79"/>
      <c r="KG46" s="79"/>
      <c r="KH46" s="80"/>
      <c r="KI46" s="81"/>
      <c r="KJ46" s="82"/>
      <c r="KK46" s="83"/>
      <c r="KL46" s="78"/>
      <c r="KM46" s="79"/>
      <c r="KN46" s="79"/>
      <c r="KO46" s="80"/>
      <c r="KP46" s="81"/>
      <c r="KQ46" s="82"/>
      <c r="KR46" s="83"/>
      <c r="KS46" s="78"/>
      <c r="KT46" s="79"/>
      <c r="KU46" s="79"/>
      <c r="KV46" s="80"/>
      <c r="KW46" s="81"/>
      <c r="KX46" s="82"/>
      <c r="KY46" s="83"/>
      <c r="KZ46" s="78"/>
      <c r="LA46" s="79"/>
      <c r="LB46" s="79"/>
      <c r="LC46" s="80"/>
      <c r="LD46" s="81"/>
      <c r="LE46" s="82"/>
      <c r="LF46" s="83"/>
      <c r="LG46" s="78"/>
      <c r="LH46" s="79"/>
      <c r="LI46" s="79"/>
      <c r="LJ46" s="80"/>
      <c r="LK46" s="81"/>
      <c r="LL46" s="82"/>
      <c r="LM46" s="83"/>
      <c r="LN46" s="78"/>
      <c r="LO46" s="79"/>
      <c r="LP46" s="79"/>
      <c r="LQ46" s="80"/>
      <c r="LR46" s="81"/>
      <c r="LS46" s="82"/>
      <c r="LT46" s="83"/>
      <c r="LU46" s="78"/>
      <c r="LV46" s="79"/>
      <c r="LW46" s="79"/>
      <c r="LX46" s="80"/>
      <c r="LY46" s="81"/>
      <c r="LZ46" s="82"/>
      <c r="MA46" s="83"/>
      <c r="MB46" s="78"/>
      <c r="MC46" s="79"/>
      <c r="MD46" s="79"/>
      <c r="ME46" s="80"/>
      <c r="MF46" s="81"/>
      <c r="MG46" s="82"/>
      <c r="MH46" s="83"/>
      <c r="MI46" s="78"/>
      <c r="MJ46" s="79"/>
      <c r="MK46" s="79"/>
      <c r="ML46" s="80"/>
      <c r="MM46" s="81"/>
      <c r="MN46" s="82"/>
      <c r="MO46" s="83"/>
      <c r="MP46" s="78"/>
      <c r="MQ46" s="79"/>
      <c r="MR46" s="79"/>
      <c r="MS46" s="80"/>
      <c r="MT46" s="81"/>
      <c r="MU46" s="82"/>
      <c r="MV46" s="83"/>
      <c r="MW46" s="78"/>
      <c r="MX46" s="79"/>
      <c r="MY46" s="79"/>
      <c r="MZ46" s="80"/>
      <c r="NA46" s="81"/>
      <c r="NB46" s="82"/>
      <c r="NC46" s="83"/>
      <c r="ND46" s="78"/>
      <c r="NE46" s="79"/>
      <c r="NF46" s="79"/>
      <c r="NG46" s="80"/>
      <c r="NH46" s="81"/>
      <c r="NI46" s="82"/>
      <c r="NJ46" s="83"/>
      <c r="NK46" s="78"/>
      <c r="NL46" s="79"/>
      <c r="NM46" s="79"/>
      <c r="NN46" s="80"/>
      <c r="NO46" s="81"/>
      <c r="NP46" s="82"/>
      <c r="NQ46" s="83"/>
    </row>
    <row r="47" spans="1:381" ht="15" customHeight="1" x14ac:dyDescent="0.15">
      <c r="A47" s="65">
        <v>42</v>
      </c>
      <c r="B47" s="76"/>
      <c r="C47" s="77"/>
      <c r="D47" s="78"/>
      <c r="E47" s="79"/>
      <c r="F47" s="79"/>
      <c r="G47" s="80"/>
      <c r="H47" s="81"/>
      <c r="I47" s="82"/>
      <c r="J47" s="83"/>
      <c r="K47" s="78"/>
      <c r="L47" s="79"/>
      <c r="M47" s="79"/>
      <c r="N47" s="80"/>
      <c r="O47" s="81"/>
      <c r="P47" s="82"/>
      <c r="Q47" s="83"/>
      <c r="R47" s="78"/>
      <c r="S47" s="79"/>
      <c r="T47" s="79"/>
      <c r="U47" s="80"/>
      <c r="V47" s="81"/>
      <c r="W47" s="82"/>
      <c r="X47" s="83"/>
      <c r="Y47" s="78"/>
      <c r="Z47" s="79"/>
      <c r="AA47" s="79"/>
      <c r="AB47" s="80"/>
      <c r="AC47" s="81"/>
      <c r="AD47" s="82"/>
      <c r="AE47" s="83"/>
      <c r="AF47" s="78"/>
      <c r="AG47" s="79"/>
      <c r="AH47" s="79"/>
      <c r="AI47" s="80"/>
      <c r="AJ47" s="81"/>
      <c r="AK47" s="82"/>
      <c r="AL47" s="83"/>
      <c r="AM47" s="78"/>
      <c r="AN47" s="79"/>
      <c r="AO47" s="79"/>
      <c r="AP47" s="80"/>
      <c r="AQ47" s="81"/>
      <c r="AR47" s="82"/>
      <c r="AS47" s="83"/>
      <c r="AT47" s="78"/>
      <c r="AU47" s="79"/>
      <c r="AV47" s="79"/>
      <c r="AW47" s="80"/>
      <c r="AX47" s="81"/>
      <c r="AY47" s="82"/>
      <c r="AZ47" s="83"/>
      <c r="BA47" s="78"/>
      <c r="BB47" s="79"/>
      <c r="BC47" s="79"/>
      <c r="BD47" s="80"/>
      <c r="BE47" s="81"/>
      <c r="BF47" s="82"/>
      <c r="BG47" s="83"/>
      <c r="BH47" s="78"/>
      <c r="BI47" s="79"/>
      <c r="BJ47" s="79"/>
      <c r="BK47" s="80"/>
      <c r="BL47" s="81"/>
      <c r="BM47" s="82"/>
      <c r="BN47" s="83"/>
      <c r="BO47" s="78"/>
      <c r="BP47" s="79"/>
      <c r="BQ47" s="79"/>
      <c r="BR47" s="80"/>
      <c r="BS47" s="81"/>
      <c r="BT47" s="82"/>
      <c r="BU47" s="83"/>
      <c r="BV47" s="78"/>
      <c r="BW47" s="79"/>
      <c r="BX47" s="79"/>
      <c r="BY47" s="80"/>
      <c r="BZ47" s="81"/>
      <c r="CA47" s="82"/>
      <c r="CB47" s="83"/>
      <c r="CC47" s="78"/>
      <c r="CD47" s="79"/>
      <c r="CE47" s="79"/>
      <c r="CF47" s="80"/>
      <c r="CG47" s="81"/>
      <c r="CH47" s="82"/>
      <c r="CI47" s="83"/>
      <c r="CJ47" s="78"/>
      <c r="CK47" s="79"/>
      <c r="CL47" s="79"/>
      <c r="CM47" s="80"/>
      <c r="CN47" s="81"/>
      <c r="CO47" s="82"/>
      <c r="CP47" s="83"/>
      <c r="CQ47" s="78"/>
      <c r="CR47" s="79"/>
      <c r="CS47" s="79"/>
      <c r="CT47" s="80"/>
      <c r="CU47" s="81"/>
      <c r="CV47" s="82"/>
      <c r="CW47" s="83"/>
      <c r="CX47" s="78"/>
      <c r="CY47" s="79"/>
      <c r="CZ47" s="79"/>
      <c r="DA47" s="80"/>
      <c r="DB47" s="81"/>
      <c r="DC47" s="82"/>
      <c r="DD47" s="83"/>
      <c r="DE47" s="78"/>
      <c r="DF47" s="79"/>
      <c r="DG47" s="79"/>
      <c r="DH47" s="80"/>
      <c r="DI47" s="81"/>
      <c r="DJ47" s="82"/>
      <c r="DK47" s="83"/>
      <c r="DL47" s="78"/>
      <c r="DM47" s="79"/>
      <c r="DN47" s="79"/>
      <c r="DO47" s="80"/>
      <c r="DP47" s="81"/>
      <c r="DQ47" s="82"/>
      <c r="DR47" s="83"/>
      <c r="DS47" s="78"/>
      <c r="DT47" s="79"/>
      <c r="DU47" s="79"/>
      <c r="DV47" s="80"/>
      <c r="DW47" s="81"/>
      <c r="DX47" s="82"/>
      <c r="DY47" s="83"/>
      <c r="DZ47" s="78"/>
      <c r="EA47" s="79"/>
      <c r="EB47" s="79"/>
      <c r="EC47" s="80"/>
      <c r="ED47" s="81"/>
      <c r="EE47" s="82"/>
      <c r="EF47" s="83"/>
      <c r="EG47" s="78"/>
      <c r="EH47" s="79"/>
      <c r="EI47" s="79"/>
      <c r="EJ47" s="80"/>
      <c r="EK47" s="81"/>
      <c r="EL47" s="82"/>
      <c r="EM47" s="83"/>
      <c r="EN47" s="78"/>
      <c r="EO47" s="79"/>
      <c r="EP47" s="79"/>
      <c r="EQ47" s="80"/>
      <c r="ER47" s="81"/>
      <c r="ES47" s="82"/>
      <c r="ET47" s="83"/>
      <c r="EU47" s="78"/>
      <c r="EV47" s="79"/>
      <c r="EW47" s="79"/>
      <c r="EX47" s="80"/>
      <c r="EY47" s="81"/>
      <c r="EZ47" s="82"/>
      <c r="FA47" s="83"/>
      <c r="FB47" s="78"/>
      <c r="FC47" s="79"/>
      <c r="FD47" s="79"/>
      <c r="FE47" s="80"/>
      <c r="FF47" s="81"/>
      <c r="FG47" s="82"/>
      <c r="FH47" s="83"/>
      <c r="FI47" s="78"/>
      <c r="FJ47" s="79"/>
      <c r="FK47" s="79"/>
      <c r="FL47" s="80"/>
      <c r="FM47" s="81"/>
      <c r="FN47" s="82"/>
      <c r="FO47" s="83"/>
      <c r="FP47" s="78"/>
      <c r="FQ47" s="79"/>
      <c r="FR47" s="79"/>
      <c r="FS47" s="80"/>
      <c r="FT47" s="81"/>
      <c r="FU47" s="82"/>
      <c r="FV47" s="83"/>
      <c r="FW47" s="78"/>
      <c r="FX47" s="79"/>
      <c r="FY47" s="79"/>
      <c r="FZ47" s="80"/>
      <c r="GA47" s="81"/>
      <c r="GB47" s="82"/>
      <c r="GC47" s="83"/>
      <c r="GD47" s="78"/>
      <c r="GE47" s="79"/>
      <c r="GF47" s="79"/>
      <c r="GG47" s="80"/>
      <c r="GH47" s="81"/>
      <c r="GI47" s="82"/>
      <c r="GJ47" s="83"/>
      <c r="GK47" s="78"/>
      <c r="GL47" s="79"/>
      <c r="GM47" s="79"/>
      <c r="GN47" s="80"/>
      <c r="GO47" s="81"/>
      <c r="GP47" s="82"/>
      <c r="GQ47" s="83"/>
      <c r="GR47" s="78"/>
      <c r="GS47" s="79"/>
      <c r="GT47" s="79"/>
      <c r="GU47" s="80"/>
      <c r="GV47" s="81"/>
      <c r="GW47" s="82"/>
      <c r="GX47" s="83"/>
      <c r="GY47" s="78"/>
      <c r="GZ47" s="79"/>
      <c r="HA47" s="79"/>
      <c r="HB47" s="80"/>
      <c r="HC47" s="81"/>
      <c r="HD47" s="82"/>
      <c r="HE47" s="83"/>
      <c r="HF47" s="78"/>
      <c r="HG47" s="79"/>
      <c r="HH47" s="79"/>
      <c r="HI47" s="80"/>
      <c r="HJ47" s="81"/>
      <c r="HK47" s="82"/>
      <c r="HL47" s="83"/>
      <c r="HM47" s="78"/>
      <c r="HN47" s="79"/>
      <c r="HO47" s="79"/>
      <c r="HP47" s="80"/>
      <c r="HQ47" s="81"/>
      <c r="HR47" s="82"/>
      <c r="HS47" s="83"/>
      <c r="HT47" s="78"/>
      <c r="HU47" s="79"/>
      <c r="HV47" s="79"/>
      <c r="HW47" s="80"/>
      <c r="HX47" s="81"/>
      <c r="HY47" s="82"/>
      <c r="HZ47" s="83"/>
      <c r="IA47" s="78"/>
      <c r="IB47" s="79"/>
      <c r="IC47" s="79"/>
      <c r="ID47" s="80"/>
      <c r="IE47" s="81"/>
      <c r="IF47" s="82"/>
      <c r="IG47" s="83"/>
      <c r="IH47" s="78"/>
      <c r="II47" s="79"/>
      <c r="IJ47" s="79"/>
      <c r="IK47" s="80"/>
      <c r="IL47" s="81"/>
      <c r="IM47" s="82"/>
      <c r="IN47" s="83"/>
      <c r="IO47" s="78"/>
      <c r="IP47" s="79"/>
      <c r="IQ47" s="79"/>
      <c r="IR47" s="80"/>
      <c r="IS47" s="81"/>
      <c r="IT47" s="82"/>
      <c r="IU47" s="83"/>
      <c r="IV47" s="78"/>
      <c r="IW47" s="79"/>
      <c r="IX47" s="79"/>
      <c r="IY47" s="80"/>
      <c r="IZ47" s="81"/>
      <c r="JA47" s="82"/>
      <c r="JB47" s="83"/>
      <c r="JC47" s="78"/>
      <c r="JD47" s="79"/>
      <c r="JE47" s="79"/>
      <c r="JF47" s="80"/>
      <c r="JG47" s="81"/>
      <c r="JH47" s="82"/>
      <c r="JI47" s="83"/>
      <c r="JJ47" s="78"/>
      <c r="JK47" s="79"/>
      <c r="JL47" s="79"/>
      <c r="JM47" s="80"/>
      <c r="JN47" s="81"/>
      <c r="JO47" s="82"/>
      <c r="JP47" s="83"/>
      <c r="JQ47" s="78"/>
      <c r="JR47" s="79"/>
      <c r="JS47" s="79"/>
      <c r="JT47" s="80"/>
      <c r="JU47" s="81"/>
      <c r="JV47" s="82"/>
      <c r="JW47" s="83"/>
      <c r="JX47" s="78"/>
      <c r="JY47" s="79"/>
      <c r="JZ47" s="79"/>
      <c r="KA47" s="80"/>
      <c r="KB47" s="81"/>
      <c r="KC47" s="82"/>
      <c r="KD47" s="83"/>
      <c r="KE47" s="78"/>
      <c r="KF47" s="79"/>
      <c r="KG47" s="79"/>
      <c r="KH47" s="80"/>
      <c r="KI47" s="81"/>
      <c r="KJ47" s="82"/>
      <c r="KK47" s="83"/>
      <c r="KL47" s="78"/>
      <c r="KM47" s="79"/>
      <c r="KN47" s="79"/>
      <c r="KO47" s="80"/>
      <c r="KP47" s="81"/>
      <c r="KQ47" s="82"/>
      <c r="KR47" s="83"/>
      <c r="KS47" s="78"/>
      <c r="KT47" s="79"/>
      <c r="KU47" s="79"/>
      <c r="KV47" s="80"/>
      <c r="KW47" s="81"/>
      <c r="KX47" s="82"/>
      <c r="KY47" s="83"/>
      <c r="KZ47" s="78"/>
      <c r="LA47" s="79"/>
      <c r="LB47" s="79"/>
      <c r="LC47" s="80"/>
      <c r="LD47" s="81"/>
      <c r="LE47" s="82"/>
      <c r="LF47" s="83"/>
      <c r="LG47" s="78"/>
      <c r="LH47" s="79"/>
      <c r="LI47" s="79"/>
      <c r="LJ47" s="80"/>
      <c r="LK47" s="81"/>
      <c r="LL47" s="82"/>
      <c r="LM47" s="83"/>
      <c r="LN47" s="78"/>
      <c r="LO47" s="79"/>
      <c r="LP47" s="79"/>
      <c r="LQ47" s="80"/>
      <c r="LR47" s="81"/>
      <c r="LS47" s="82"/>
      <c r="LT47" s="83"/>
      <c r="LU47" s="78"/>
      <c r="LV47" s="79"/>
      <c r="LW47" s="79"/>
      <c r="LX47" s="80"/>
      <c r="LY47" s="81"/>
      <c r="LZ47" s="82"/>
      <c r="MA47" s="83"/>
      <c r="MB47" s="78"/>
      <c r="MC47" s="79"/>
      <c r="MD47" s="79"/>
      <c r="ME47" s="80"/>
      <c r="MF47" s="81"/>
      <c r="MG47" s="82"/>
      <c r="MH47" s="83"/>
      <c r="MI47" s="78"/>
      <c r="MJ47" s="79"/>
      <c r="MK47" s="79"/>
      <c r="ML47" s="80"/>
      <c r="MM47" s="81"/>
      <c r="MN47" s="82"/>
      <c r="MO47" s="83"/>
      <c r="MP47" s="78"/>
      <c r="MQ47" s="79"/>
      <c r="MR47" s="79"/>
      <c r="MS47" s="80"/>
      <c r="MT47" s="81"/>
      <c r="MU47" s="82"/>
      <c r="MV47" s="83"/>
      <c r="MW47" s="78"/>
      <c r="MX47" s="79"/>
      <c r="MY47" s="79"/>
      <c r="MZ47" s="80"/>
      <c r="NA47" s="81"/>
      <c r="NB47" s="82"/>
      <c r="NC47" s="83"/>
      <c r="ND47" s="78"/>
      <c r="NE47" s="79"/>
      <c r="NF47" s="79"/>
      <c r="NG47" s="80"/>
      <c r="NH47" s="81"/>
      <c r="NI47" s="82"/>
      <c r="NJ47" s="83"/>
      <c r="NK47" s="78"/>
      <c r="NL47" s="79"/>
      <c r="NM47" s="79"/>
      <c r="NN47" s="80"/>
      <c r="NO47" s="81"/>
      <c r="NP47" s="82"/>
      <c r="NQ47" s="83"/>
    </row>
    <row r="48" spans="1:381" ht="15" customHeight="1" x14ac:dyDescent="0.15">
      <c r="A48" s="65">
        <v>43</v>
      </c>
      <c r="B48" s="76"/>
      <c r="C48" s="77">
        <v>0.83333333333333803</v>
      </c>
      <c r="D48" s="78"/>
      <c r="E48" s="79"/>
      <c r="F48" s="79"/>
      <c r="G48" s="80"/>
      <c r="H48" s="81"/>
      <c r="I48" s="82"/>
      <c r="J48" s="83"/>
      <c r="K48" s="78"/>
      <c r="L48" s="79"/>
      <c r="M48" s="79"/>
      <c r="N48" s="80"/>
      <c r="O48" s="81"/>
      <c r="P48" s="82"/>
      <c r="Q48" s="83"/>
      <c r="R48" s="78"/>
      <c r="S48" s="79"/>
      <c r="T48" s="79"/>
      <c r="U48" s="80"/>
      <c r="V48" s="81"/>
      <c r="W48" s="82"/>
      <c r="X48" s="83"/>
      <c r="Y48" s="78"/>
      <c r="Z48" s="79"/>
      <c r="AA48" s="79"/>
      <c r="AB48" s="80"/>
      <c r="AC48" s="81"/>
      <c r="AD48" s="82"/>
      <c r="AE48" s="83"/>
      <c r="AF48" s="78"/>
      <c r="AG48" s="79"/>
      <c r="AH48" s="79"/>
      <c r="AI48" s="80"/>
      <c r="AJ48" s="81"/>
      <c r="AK48" s="82"/>
      <c r="AL48" s="83"/>
      <c r="AM48" s="78"/>
      <c r="AN48" s="79"/>
      <c r="AO48" s="79"/>
      <c r="AP48" s="80"/>
      <c r="AQ48" s="81"/>
      <c r="AR48" s="82"/>
      <c r="AS48" s="83"/>
      <c r="AT48" s="78"/>
      <c r="AU48" s="79"/>
      <c r="AV48" s="79"/>
      <c r="AW48" s="80"/>
      <c r="AX48" s="81"/>
      <c r="AY48" s="82"/>
      <c r="AZ48" s="83"/>
      <c r="BA48" s="78"/>
      <c r="BB48" s="79"/>
      <c r="BC48" s="79"/>
      <c r="BD48" s="80"/>
      <c r="BE48" s="81"/>
      <c r="BF48" s="82"/>
      <c r="BG48" s="83"/>
      <c r="BH48" s="78"/>
      <c r="BI48" s="79"/>
      <c r="BJ48" s="79"/>
      <c r="BK48" s="80"/>
      <c r="BL48" s="81"/>
      <c r="BM48" s="82"/>
      <c r="BN48" s="83"/>
      <c r="BO48" s="78"/>
      <c r="BP48" s="79"/>
      <c r="BQ48" s="79"/>
      <c r="BR48" s="80"/>
      <c r="BS48" s="81"/>
      <c r="BT48" s="82"/>
      <c r="BU48" s="83"/>
      <c r="BV48" s="78"/>
      <c r="BW48" s="79"/>
      <c r="BX48" s="79"/>
      <c r="BY48" s="80"/>
      <c r="BZ48" s="81"/>
      <c r="CA48" s="82"/>
      <c r="CB48" s="83"/>
      <c r="CC48" s="78"/>
      <c r="CD48" s="79"/>
      <c r="CE48" s="79"/>
      <c r="CF48" s="80"/>
      <c r="CG48" s="81"/>
      <c r="CH48" s="82"/>
      <c r="CI48" s="83"/>
      <c r="CJ48" s="78"/>
      <c r="CK48" s="79"/>
      <c r="CL48" s="79"/>
      <c r="CM48" s="80"/>
      <c r="CN48" s="81"/>
      <c r="CO48" s="82"/>
      <c r="CP48" s="83"/>
      <c r="CQ48" s="78"/>
      <c r="CR48" s="79"/>
      <c r="CS48" s="79"/>
      <c r="CT48" s="80"/>
      <c r="CU48" s="81"/>
      <c r="CV48" s="82"/>
      <c r="CW48" s="83"/>
      <c r="CX48" s="78"/>
      <c r="CY48" s="79"/>
      <c r="CZ48" s="79"/>
      <c r="DA48" s="80"/>
      <c r="DB48" s="81"/>
      <c r="DC48" s="82"/>
      <c r="DD48" s="83"/>
      <c r="DE48" s="78"/>
      <c r="DF48" s="79"/>
      <c r="DG48" s="79"/>
      <c r="DH48" s="80"/>
      <c r="DI48" s="81"/>
      <c r="DJ48" s="82"/>
      <c r="DK48" s="83"/>
      <c r="DL48" s="78"/>
      <c r="DM48" s="79"/>
      <c r="DN48" s="79"/>
      <c r="DO48" s="80"/>
      <c r="DP48" s="81"/>
      <c r="DQ48" s="82"/>
      <c r="DR48" s="83"/>
      <c r="DS48" s="78"/>
      <c r="DT48" s="79"/>
      <c r="DU48" s="79"/>
      <c r="DV48" s="80"/>
      <c r="DW48" s="81"/>
      <c r="DX48" s="82"/>
      <c r="DY48" s="83"/>
      <c r="DZ48" s="78"/>
      <c r="EA48" s="79"/>
      <c r="EB48" s="79"/>
      <c r="EC48" s="80"/>
      <c r="ED48" s="81"/>
      <c r="EE48" s="82"/>
      <c r="EF48" s="83"/>
      <c r="EG48" s="78"/>
      <c r="EH48" s="79"/>
      <c r="EI48" s="79"/>
      <c r="EJ48" s="80"/>
      <c r="EK48" s="81"/>
      <c r="EL48" s="82"/>
      <c r="EM48" s="83"/>
      <c r="EN48" s="78"/>
      <c r="EO48" s="79"/>
      <c r="EP48" s="79"/>
      <c r="EQ48" s="80"/>
      <c r="ER48" s="81"/>
      <c r="ES48" s="82"/>
      <c r="ET48" s="83"/>
      <c r="EU48" s="78"/>
      <c r="EV48" s="79"/>
      <c r="EW48" s="79"/>
      <c r="EX48" s="80"/>
      <c r="EY48" s="81"/>
      <c r="EZ48" s="82"/>
      <c r="FA48" s="83"/>
      <c r="FB48" s="78"/>
      <c r="FC48" s="79"/>
      <c r="FD48" s="79"/>
      <c r="FE48" s="80"/>
      <c r="FF48" s="81"/>
      <c r="FG48" s="82"/>
      <c r="FH48" s="83"/>
      <c r="FI48" s="78"/>
      <c r="FJ48" s="79"/>
      <c r="FK48" s="79"/>
      <c r="FL48" s="80"/>
      <c r="FM48" s="81"/>
      <c r="FN48" s="82"/>
      <c r="FO48" s="83"/>
      <c r="FP48" s="78"/>
      <c r="FQ48" s="79"/>
      <c r="FR48" s="79"/>
      <c r="FS48" s="80"/>
      <c r="FT48" s="81"/>
      <c r="FU48" s="82"/>
      <c r="FV48" s="83"/>
      <c r="FW48" s="78"/>
      <c r="FX48" s="79"/>
      <c r="FY48" s="79"/>
      <c r="FZ48" s="80"/>
      <c r="GA48" s="81"/>
      <c r="GB48" s="82"/>
      <c r="GC48" s="83"/>
      <c r="GD48" s="78"/>
      <c r="GE48" s="79"/>
      <c r="GF48" s="79"/>
      <c r="GG48" s="80"/>
      <c r="GH48" s="81"/>
      <c r="GI48" s="82"/>
      <c r="GJ48" s="83"/>
      <c r="GK48" s="78"/>
      <c r="GL48" s="79"/>
      <c r="GM48" s="79"/>
      <c r="GN48" s="80"/>
      <c r="GO48" s="81"/>
      <c r="GP48" s="82"/>
      <c r="GQ48" s="83"/>
      <c r="GR48" s="78"/>
      <c r="GS48" s="79"/>
      <c r="GT48" s="79"/>
      <c r="GU48" s="80"/>
      <c r="GV48" s="81"/>
      <c r="GW48" s="82"/>
      <c r="GX48" s="83"/>
      <c r="GY48" s="78"/>
      <c r="GZ48" s="79"/>
      <c r="HA48" s="79"/>
      <c r="HB48" s="80"/>
      <c r="HC48" s="81"/>
      <c r="HD48" s="82"/>
      <c r="HE48" s="83"/>
      <c r="HF48" s="78"/>
      <c r="HG48" s="79"/>
      <c r="HH48" s="79"/>
      <c r="HI48" s="80"/>
      <c r="HJ48" s="81"/>
      <c r="HK48" s="82"/>
      <c r="HL48" s="83"/>
      <c r="HM48" s="78"/>
      <c r="HN48" s="79"/>
      <c r="HO48" s="79"/>
      <c r="HP48" s="80"/>
      <c r="HQ48" s="81"/>
      <c r="HR48" s="82"/>
      <c r="HS48" s="83"/>
      <c r="HT48" s="78"/>
      <c r="HU48" s="79"/>
      <c r="HV48" s="79"/>
      <c r="HW48" s="80"/>
      <c r="HX48" s="81"/>
      <c r="HY48" s="82"/>
      <c r="HZ48" s="83"/>
      <c r="IA48" s="78"/>
      <c r="IB48" s="79"/>
      <c r="IC48" s="79"/>
      <c r="ID48" s="80"/>
      <c r="IE48" s="81"/>
      <c r="IF48" s="82"/>
      <c r="IG48" s="83"/>
      <c r="IH48" s="78"/>
      <c r="II48" s="79"/>
      <c r="IJ48" s="79"/>
      <c r="IK48" s="80"/>
      <c r="IL48" s="81"/>
      <c r="IM48" s="82"/>
      <c r="IN48" s="83"/>
      <c r="IO48" s="78"/>
      <c r="IP48" s="79"/>
      <c r="IQ48" s="79"/>
      <c r="IR48" s="80"/>
      <c r="IS48" s="81"/>
      <c r="IT48" s="82"/>
      <c r="IU48" s="83"/>
      <c r="IV48" s="78"/>
      <c r="IW48" s="79"/>
      <c r="IX48" s="79"/>
      <c r="IY48" s="80"/>
      <c r="IZ48" s="81"/>
      <c r="JA48" s="82"/>
      <c r="JB48" s="83"/>
      <c r="JC48" s="78"/>
      <c r="JD48" s="79"/>
      <c r="JE48" s="79"/>
      <c r="JF48" s="80"/>
      <c r="JG48" s="81"/>
      <c r="JH48" s="82"/>
      <c r="JI48" s="83"/>
      <c r="JJ48" s="78"/>
      <c r="JK48" s="79"/>
      <c r="JL48" s="79"/>
      <c r="JM48" s="80"/>
      <c r="JN48" s="81"/>
      <c r="JO48" s="82"/>
      <c r="JP48" s="83"/>
      <c r="JQ48" s="78"/>
      <c r="JR48" s="79"/>
      <c r="JS48" s="79"/>
      <c r="JT48" s="80"/>
      <c r="JU48" s="81"/>
      <c r="JV48" s="82"/>
      <c r="JW48" s="83"/>
      <c r="JX48" s="78"/>
      <c r="JY48" s="79"/>
      <c r="JZ48" s="79"/>
      <c r="KA48" s="80"/>
      <c r="KB48" s="81"/>
      <c r="KC48" s="82"/>
      <c r="KD48" s="83"/>
      <c r="KE48" s="78"/>
      <c r="KF48" s="79"/>
      <c r="KG48" s="79"/>
      <c r="KH48" s="80"/>
      <c r="KI48" s="81"/>
      <c r="KJ48" s="82"/>
      <c r="KK48" s="83"/>
      <c r="KL48" s="78"/>
      <c r="KM48" s="79"/>
      <c r="KN48" s="79"/>
      <c r="KO48" s="80"/>
      <c r="KP48" s="81"/>
      <c r="KQ48" s="82"/>
      <c r="KR48" s="83"/>
      <c r="KS48" s="78"/>
      <c r="KT48" s="79"/>
      <c r="KU48" s="79"/>
      <c r="KV48" s="80"/>
      <c r="KW48" s="81"/>
      <c r="KX48" s="82"/>
      <c r="KY48" s="83"/>
      <c r="KZ48" s="78"/>
      <c r="LA48" s="79"/>
      <c r="LB48" s="79"/>
      <c r="LC48" s="80"/>
      <c r="LD48" s="81"/>
      <c r="LE48" s="82"/>
      <c r="LF48" s="83"/>
      <c r="LG48" s="78"/>
      <c r="LH48" s="79"/>
      <c r="LI48" s="79"/>
      <c r="LJ48" s="80"/>
      <c r="LK48" s="81"/>
      <c r="LL48" s="82"/>
      <c r="LM48" s="83"/>
      <c r="LN48" s="78"/>
      <c r="LO48" s="79"/>
      <c r="LP48" s="79"/>
      <c r="LQ48" s="80"/>
      <c r="LR48" s="81"/>
      <c r="LS48" s="82"/>
      <c r="LT48" s="83"/>
      <c r="LU48" s="78"/>
      <c r="LV48" s="79"/>
      <c r="LW48" s="79"/>
      <c r="LX48" s="80"/>
      <c r="LY48" s="81"/>
      <c r="LZ48" s="82"/>
      <c r="MA48" s="83"/>
      <c r="MB48" s="78"/>
      <c r="MC48" s="79"/>
      <c r="MD48" s="79"/>
      <c r="ME48" s="80"/>
      <c r="MF48" s="81"/>
      <c r="MG48" s="82"/>
      <c r="MH48" s="83"/>
      <c r="MI48" s="78"/>
      <c r="MJ48" s="79"/>
      <c r="MK48" s="79"/>
      <c r="ML48" s="80"/>
      <c r="MM48" s="81"/>
      <c r="MN48" s="82"/>
      <c r="MO48" s="83"/>
      <c r="MP48" s="78"/>
      <c r="MQ48" s="79"/>
      <c r="MR48" s="79"/>
      <c r="MS48" s="80"/>
      <c r="MT48" s="81"/>
      <c r="MU48" s="82"/>
      <c r="MV48" s="83"/>
      <c r="MW48" s="78"/>
      <c r="MX48" s="79"/>
      <c r="MY48" s="79"/>
      <c r="MZ48" s="80"/>
      <c r="NA48" s="81"/>
      <c r="NB48" s="82"/>
      <c r="NC48" s="83"/>
      <c r="ND48" s="78"/>
      <c r="NE48" s="79"/>
      <c r="NF48" s="79"/>
      <c r="NG48" s="80"/>
      <c r="NH48" s="81"/>
      <c r="NI48" s="82"/>
      <c r="NJ48" s="83"/>
      <c r="NK48" s="78"/>
      <c r="NL48" s="79"/>
      <c r="NM48" s="79"/>
      <c r="NN48" s="80"/>
      <c r="NO48" s="81"/>
      <c r="NP48" s="82"/>
      <c r="NQ48" s="83"/>
    </row>
    <row r="49" spans="1:381" ht="15" customHeight="1" x14ac:dyDescent="0.15">
      <c r="A49" s="65">
        <v>44</v>
      </c>
      <c r="B49" s="76"/>
      <c r="C49" s="77"/>
      <c r="D49" s="78"/>
      <c r="E49" s="79"/>
      <c r="F49" s="79"/>
      <c r="G49" s="80"/>
      <c r="H49" s="81"/>
      <c r="I49" s="82"/>
      <c r="J49" s="83"/>
      <c r="K49" s="78"/>
      <c r="L49" s="79"/>
      <c r="M49" s="79"/>
      <c r="N49" s="80"/>
      <c r="O49" s="81"/>
      <c r="P49" s="82"/>
      <c r="Q49" s="83"/>
      <c r="R49" s="78"/>
      <c r="S49" s="79"/>
      <c r="T49" s="79"/>
      <c r="U49" s="80"/>
      <c r="V49" s="81"/>
      <c r="W49" s="82"/>
      <c r="X49" s="83"/>
      <c r="Y49" s="78"/>
      <c r="Z49" s="79"/>
      <c r="AA49" s="79"/>
      <c r="AB49" s="80"/>
      <c r="AC49" s="81"/>
      <c r="AD49" s="82"/>
      <c r="AE49" s="83"/>
      <c r="AF49" s="78"/>
      <c r="AG49" s="79"/>
      <c r="AH49" s="79"/>
      <c r="AI49" s="80"/>
      <c r="AJ49" s="81"/>
      <c r="AK49" s="82"/>
      <c r="AL49" s="83"/>
      <c r="AM49" s="78"/>
      <c r="AN49" s="79"/>
      <c r="AO49" s="79"/>
      <c r="AP49" s="80"/>
      <c r="AQ49" s="81"/>
      <c r="AR49" s="82"/>
      <c r="AS49" s="83"/>
      <c r="AT49" s="78"/>
      <c r="AU49" s="79"/>
      <c r="AV49" s="79"/>
      <c r="AW49" s="80"/>
      <c r="AX49" s="81"/>
      <c r="AY49" s="82"/>
      <c r="AZ49" s="83"/>
      <c r="BA49" s="78"/>
      <c r="BB49" s="79"/>
      <c r="BC49" s="79"/>
      <c r="BD49" s="80"/>
      <c r="BE49" s="81"/>
      <c r="BF49" s="82"/>
      <c r="BG49" s="83"/>
      <c r="BH49" s="78"/>
      <c r="BI49" s="79"/>
      <c r="BJ49" s="79"/>
      <c r="BK49" s="80"/>
      <c r="BL49" s="81"/>
      <c r="BM49" s="82"/>
      <c r="BN49" s="83"/>
      <c r="BO49" s="78"/>
      <c r="BP49" s="79"/>
      <c r="BQ49" s="79"/>
      <c r="BR49" s="80"/>
      <c r="BS49" s="81"/>
      <c r="BT49" s="82"/>
      <c r="BU49" s="83"/>
      <c r="BV49" s="78"/>
      <c r="BW49" s="79"/>
      <c r="BX49" s="79"/>
      <c r="BY49" s="80"/>
      <c r="BZ49" s="81"/>
      <c r="CA49" s="82"/>
      <c r="CB49" s="83"/>
      <c r="CC49" s="78"/>
      <c r="CD49" s="79"/>
      <c r="CE49" s="79"/>
      <c r="CF49" s="80"/>
      <c r="CG49" s="81"/>
      <c r="CH49" s="82"/>
      <c r="CI49" s="83"/>
      <c r="CJ49" s="78"/>
      <c r="CK49" s="79"/>
      <c r="CL49" s="79"/>
      <c r="CM49" s="80"/>
      <c r="CN49" s="81"/>
      <c r="CO49" s="82"/>
      <c r="CP49" s="83"/>
      <c r="CQ49" s="78"/>
      <c r="CR49" s="79"/>
      <c r="CS49" s="79"/>
      <c r="CT49" s="80"/>
      <c r="CU49" s="81"/>
      <c r="CV49" s="82"/>
      <c r="CW49" s="83"/>
      <c r="CX49" s="78"/>
      <c r="CY49" s="79"/>
      <c r="CZ49" s="79"/>
      <c r="DA49" s="80"/>
      <c r="DB49" s="81"/>
      <c r="DC49" s="82"/>
      <c r="DD49" s="83"/>
      <c r="DE49" s="78"/>
      <c r="DF49" s="79"/>
      <c r="DG49" s="79"/>
      <c r="DH49" s="80"/>
      <c r="DI49" s="81"/>
      <c r="DJ49" s="82"/>
      <c r="DK49" s="83"/>
      <c r="DL49" s="78"/>
      <c r="DM49" s="79"/>
      <c r="DN49" s="79"/>
      <c r="DO49" s="80"/>
      <c r="DP49" s="81"/>
      <c r="DQ49" s="82"/>
      <c r="DR49" s="83"/>
      <c r="DS49" s="78"/>
      <c r="DT49" s="79"/>
      <c r="DU49" s="79"/>
      <c r="DV49" s="80"/>
      <c r="DW49" s="81"/>
      <c r="DX49" s="82"/>
      <c r="DY49" s="83"/>
      <c r="DZ49" s="78"/>
      <c r="EA49" s="79"/>
      <c r="EB49" s="79"/>
      <c r="EC49" s="80"/>
      <c r="ED49" s="81"/>
      <c r="EE49" s="82"/>
      <c r="EF49" s="83"/>
      <c r="EG49" s="78"/>
      <c r="EH49" s="79"/>
      <c r="EI49" s="79"/>
      <c r="EJ49" s="80"/>
      <c r="EK49" s="81"/>
      <c r="EL49" s="82"/>
      <c r="EM49" s="83"/>
      <c r="EN49" s="78"/>
      <c r="EO49" s="79"/>
      <c r="EP49" s="79"/>
      <c r="EQ49" s="80"/>
      <c r="ER49" s="81"/>
      <c r="ES49" s="82"/>
      <c r="ET49" s="83"/>
      <c r="EU49" s="78"/>
      <c r="EV49" s="79"/>
      <c r="EW49" s="79"/>
      <c r="EX49" s="80"/>
      <c r="EY49" s="81"/>
      <c r="EZ49" s="82"/>
      <c r="FA49" s="83"/>
      <c r="FB49" s="78"/>
      <c r="FC49" s="79"/>
      <c r="FD49" s="79"/>
      <c r="FE49" s="80"/>
      <c r="FF49" s="81"/>
      <c r="FG49" s="82"/>
      <c r="FH49" s="83"/>
      <c r="FI49" s="78"/>
      <c r="FJ49" s="79"/>
      <c r="FK49" s="79"/>
      <c r="FL49" s="80"/>
      <c r="FM49" s="81"/>
      <c r="FN49" s="82"/>
      <c r="FO49" s="83"/>
      <c r="FP49" s="78"/>
      <c r="FQ49" s="79"/>
      <c r="FR49" s="79"/>
      <c r="FS49" s="80"/>
      <c r="FT49" s="81"/>
      <c r="FU49" s="82"/>
      <c r="FV49" s="83"/>
      <c r="FW49" s="78"/>
      <c r="FX49" s="79"/>
      <c r="FY49" s="79"/>
      <c r="FZ49" s="80"/>
      <c r="GA49" s="81"/>
      <c r="GB49" s="82"/>
      <c r="GC49" s="83"/>
      <c r="GD49" s="78"/>
      <c r="GE49" s="79"/>
      <c r="GF49" s="79"/>
      <c r="GG49" s="80"/>
      <c r="GH49" s="81"/>
      <c r="GI49" s="82"/>
      <c r="GJ49" s="83"/>
      <c r="GK49" s="78"/>
      <c r="GL49" s="79"/>
      <c r="GM49" s="79"/>
      <c r="GN49" s="80"/>
      <c r="GO49" s="81"/>
      <c r="GP49" s="82"/>
      <c r="GQ49" s="83"/>
      <c r="GR49" s="78"/>
      <c r="GS49" s="79"/>
      <c r="GT49" s="79"/>
      <c r="GU49" s="80"/>
      <c r="GV49" s="81"/>
      <c r="GW49" s="82"/>
      <c r="GX49" s="83"/>
      <c r="GY49" s="78"/>
      <c r="GZ49" s="79"/>
      <c r="HA49" s="79"/>
      <c r="HB49" s="80"/>
      <c r="HC49" s="81"/>
      <c r="HD49" s="82"/>
      <c r="HE49" s="83"/>
      <c r="HF49" s="78"/>
      <c r="HG49" s="79"/>
      <c r="HH49" s="79"/>
      <c r="HI49" s="80"/>
      <c r="HJ49" s="81"/>
      <c r="HK49" s="82"/>
      <c r="HL49" s="83"/>
      <c r="HM49" s="78"/>
      <c r="HN49" s="79"/>
      <c r="HO49" s="79"/>
      <c r="HP49" s="80"/>
      <c r="HQ49" s="81"/>
      <c r="HR49" s="82"/>
      <c r="HS49" s="83"/>
      <c r="HT49" s="78"/>
      <c r="HU49" s="79"/>
      <c r="HV49" s="79"/>
      <c r="HW49" s="80"/>
      <c r="HX49" s="81"/>
      <c r="HY49" s="82"/>
      <c r="HZ49" s="83"/>
      <c r="IA49" s="78"/>
      <c r="IB49" s="79"/>
      <c r="IC49" s="79"/>
      <c r="ID49" s="80"/>
      <c r="IE49" s="81"/>
      <c r="IF49" s="82"/>
      <c r="IG49" s="83"/>
      <c r="IH49" s="78"/>
      <c r="II49" s="79"/>
      <c r="IJ49" s="79"/>
      <c r="IK49" s="80"/>
      <c r="IL49" s="81"/>
      <c r="IM49" s="82"/>
      <c r="IN49" s="83"/>
      <c r="IO49" s="78"/>
      <c r="IP49" s="79"/>
      <c r="IQ49" s="79"/>
      <c r="IR49" s="80"/>
      <c r="IS49" s="81"/>
      <c r="IT49" s="82"/>
      <c r="IU49" s="83"/>
      <c r="IV49" s="78"/>
      <c r="IW49" s="79"/>
      <c r="IX49" s="79"/>
      <c r="IY49" s="80"/>
      <c r="IZ49" s="81"/>
      <c r="JA49" s="82"/>
      <c r="JB49" s="83"/>
      <c r="JC49" s="78"/>
      <c r="JD49" s="79"/>
      <c r="JE49" s="79"/>
      <c r="JF49" s="80"/>
      <c r="JG49" s="81"/>
      <c r="JH49" s="82"/>
      <c r="JI49" s="83"/>
      <c r="JJ49" s="78"/>
      <c r="JK49" s="79"/>
      <c r="JL49" s="79"/>
      <c r="JM49" s="80"/>
      <c r="JN49" s="81"/>
      <c r="JO49" s="82"/>
      <c r="JP49" s="83"/>
      <c r="JQ49" s="78"/>
      <c r="JR49" s="79"/>
      <c r="JS49" s="79"/>
      <c r="JT49" s="80"/>
      <c r="JU49" s="81"/>
      <c r="JV49" s="82"/>
      <c r="JW49" s="83"/>
      <c r="JX49" s="78"/>
      <c r="JY49" s="79"/>
      <c r="JZ49" s="79"/>
      <c r="KA49" s="80"/>
      <c r="KB49" s="81"/>
      <c r="KC49" s="82"/>
      <c r="KD49" s="83"/>
      <c r="KE49" s="78"/>
      <c r="KF49" s="79"/>
      <c r="KG49" s="79"/>
      <c r="KH49" s="80"/>
      <c r="KI49" s="81"/>
      <c r="KJ49" s="82"/>
      <c r="KK49" s="83"/>
      <c r="KL49" s="78"/>
      <c r="KM49" s="79"/>
      <c r="KN49" s="79"/>
      <c r="KO49" s="80"/>
      <c r="KP49" s="81"/>
      <c r="KQ49" s="82"/>
      <c r="KR49" s="83"/>
      <c r="KS49" s="78"/>
      <c r="KT49" s="79"/>
      <c r="KU49" s="79"/>
      <c r="KV49" s="80"/>
      <c r="KW49" s="81"/>
      <c r="KX49" s="82"/>
      <c r="KY49" s="83"/>
      <c r="KZ49" s="78"/>
      <c r="LA49" s="79"/>
      <c r="LB49" s="79"/>
      <c r="LC49" s="80"/>
      <c r="LD49" s="81"/>
      <c r="LE49" s="82"/>
      <c r="LF49" s="83"/>
      <c r="LG49" s="78"/>
      <c r="LH49" s="79"/>
      <c r="LI49" s="79"/>
      <c r="LJ49" s="80"/>
      <c r="LK49" s="81"/>
      <c r="LL49" s="82"/>
      <c r="LM49" s="83"/>
      <c r="LN49" s="78"/>
      <c r="LO49" s="79"/>
      <c r="LP49" s="79"/>
      <c r="LQ49" s="80"/>
      <c r="LR49" s="81"/>
      <c r="LS49" s="82"/>
      <c r="LT49" s="83"/>
      <c r="LU49" s="78"/>
      <c r="LV49" s="79"/>
      <c r="LW49" s="79"/>
      <c r="LX49" s="80"/>
      <c r="LY49" s="81"/>
      <c r="LZ49" s="82"/>
      <c r="MA49" s="83"/>
      <c r="MB49" s="78"/>
      <c r="MC49" s="79"/>
      <c r="MD49" s="79"/>
      <c r="ME49" s="80"/>
      <c r="MF49" s="81"/>
      <c r="MG49" s="82"/>
      <c r="MH49" s="83"/>
      <c r="MI49" s="78"/>
      <c r="MJ49" s="79"/>
      <c r="MK49" s="79"/>
      <c r="ML49" s="80"/>
      <c r="MM49" s="81"/>
      <c r="MN49" s="82"/>
      <c r="MO49" s="83"/>
      <c r="MP49" s="78"/>
      <c r="MQ49" s="79"/>
      <c r="MR49" s="79"/>
      <c r="MS49" s="80"/>
      <c r="MT49" s="81"/>
      <c r="MU49" s="82"/>
      <c r="MV49" s="83"/>
      <c r="MW49" s="78"/>
      <c r="MX49" s="79"/>
      <c r="MY49" s="79"/>
      <c r="MZ49" s="80"/>
      <c r="NA49" s="81"/>
      <c r="NB49" s="82"/>
      <c r="NC49" s="83"/>
      <c r="ND49" s="78"/>
      <c r="NE49" s="79"/>
      <c r="NF49" s="79"/>
      <c r="NG49" s="80"/>
      <c r="NH49" s="81"/>
      <c r="NI49" s="82"/>
      <c r="NJ49" s="83"/>
      <c r="NK49" s="78"/>
      <c r="NL49" s="79"/>
      <c r="NM49" s="79"/>
      <c r="NN49" s="80"/>
      <c r="NO49" s="81"/>
      <c r="NP49" s="82"/>
      <c r="NQ49" s="83"/>
    </row>
    <row r="50" spans="1:381" ht="15" customHeight="1" x14ac:dyDescent="0.15">
      <c r="A50" s="65">
        <v>45</v>
      </c>
      <c r="B50" s="76"/>
      <c r="C50" s="77">
        <v>0.875000000000005</v>
      </c>
      <c r="D50" s="78"/>
      <c r="E50" s="79"/>
      <c r="F50" s="79"/>
      <c r="G50" s="80"/>
      <c r="H50" s="81"/>
      <c r="I50" s="82"/>
      <c r="J50" s="83"/>
      <c r="K50" s="78"/>
      <c r="L50" s="79"/>
      <c r="M50" s="79"/>
      <c r="N50" s="80"/>
      <c r="O50" s="81"/>
      <c r="P50" s="82"/>
      <c r="Q50" s="83"/>
      <c r="R50" s="78"/>
      <c r="S50" s="79"/>
      <c r="T50" s="79"/>
      <c r="U50" s="80"/>
      <c r="V50" s="81"/>
      <c r="W50" s="82"/>
      <c r="X50" s="83"/>
      <c r="Y50" s="78"/>
      <c r="Z50" s="79"/>
      <c r="AA50" s="79"/>
      <c r="AB50" s="80"/>
      <c r="AC50" s="81"/>
      <c r="AD50" s="82"/>
      <c r="AE50" s="83"/>
      <c r="AF50" s="78"/>
      <c r="AG50" s="79"/>
      <c r="AH50" s="79"/>
      <c r="AI50" s="80"/>
      <c r="AJ50" s="81"/>
      <c r="AK50" s="82"/>
      <c r="AL50" s="83"/>
      <c r="AM50" s="78"/>
      <c r="AN50" s="79"/>
      <c r="AO50" s="79"/>
      <c r="AP50" s="80"/>
      <c r="AQ50" s="81"/>
      <c r="AR50" s="82"/>
      <c r="AS50" s="83"/>
      <c r="AT50" s="78"/>
      <c r="AU50" s="79"/>
      <c r="AV50" s="79"/>
      <c r="AW50" s="80"/>
      <c r="AX50" s="81"/>
      <c r="AY50" s="82"/>
      <c r="AZ50" s="83"/>
      <c r="BA50" s="78"/>
      <c r="BB50" s="79"/>
      <c r="BC50" s="79"/>
      <c r="BD50" s="80"/>
      <c r="BE50" s="81"/>
      <c r="BF50" s="82"/>
      <c r="BG50" s="83"/>
      <c r="BH50" s="78"/>
      <c r="BI50" s="79"/>
      <c r="BJ50" s="79"/>
      <c r="BK50" s="80"/>
      <c r="BL50" s="81"/>
      <c r="BM50" s="82"/>
      <c r="BN50" s="83"/>
      <c r="BO50" s="78"/>
      <c r="BP50" s="79"/>
      <c r="BQ50" s="79"/>
      <c r="BR50" s="80"/>
      <c r="BS50" s="81"/>
      <c r="BT50" s="82"/>
      <c r="BU50" s="83"/>
      <c r="BV50" s="78"/>
      <c r="BW50" s="79"/>
      <c r="BX50" s="79"/>
      <c r="BY50" s="80"/>
      <c r="BZ50" s="81"/>
      <c r="CA50" s="82"/>
      <c r="CB50" s="83"/>
      <c r="CC50" s="78"/>
      <c r="CD50" s="79"/>
      <c r="CE50" s="79"/>
      <c r="CF50" s="80"/>
      <c r="CG50" s="81"/>
      <c r="CH50" s="82"/>
      <c r="CI50" s="83"/>
      <c r="CJ50" s="78"/>
      <c r="CK50" s="79"/>
      <c r="CL50" s="79"/>
      <c r="CM50" s="80"/>
      <c r="CN50" s="81"/>
      <c r="CO50" s="82"/>
      <c r="CP50" s="83"/>
      <c r="CQ50" s="78"/>
      <c r="CR50" s="79"/>
      <c r="CS50" s="79"/>
      <c r="CT50" s="80"/>
      <c r="CU50" s="81"/>
      <c r="CV50" s="82"/>
      <c r="CW50" s="83"/>
      <c r="CX50" s="78"/>
      <c r="CY50" s="79"/>
      <c r="CZ50" s="79"/>
      <c r="DA50" s="80"/>
      <c r="DB50" s="81"/>
      <c r="DC50" s="82"/>
      <c r="DD50" s="83"/>
      <c r="DE50" s="78"/>
      <c r="DF50" s="79"/>
      <c r="DG50" s="79"/>
      <c r="DH50" s="80"/>
      <c r="DI50" s="81"/>
      <c r="DJ50" s="82"/>
      <c r="DK50" s="83"/>
      <c r="DL50" s="78"/>
      <c r="DM50" s="79"/>
      <c r="DN50" s="79"/>
      <c r="DO50" s="80"/>
      <c r="DP50" s="81"/>
      <c r="DQ50" s="82"/>
      <c r="DR50" s="83"/>
      <c r="DS50" s="78"/>
      <c r="DT50" s="79"/>
      <c r="DU50" s="79"/>
      <c r="DV50" s="80"/>
      <c r="DW50" s="81"/>
      <c r="DX50" s="82"/>
      <c r="DY50" s="83"/>
      <c r="DZ50" s="78"/>
      <c r="EA50" s="79"/>
      <c r="EB50" s="79"/>
      <c r="EC50" s="80"/>
      <c r="ED50" s="81"/>
      <c r="EE50" s="82"/>
      <c r="EF50" s="83"/>
      <c r="EG50" s="78"/>
      <c r="EH50" s="79"/>
      <c r="EI50" s="79"/>
      <c r="EJ50" s="80"/>
      <c r="EK50" s="81"/>
      <c r="EL50" s="82"/>
      <c r="EM50" s="83"/>
      <c r="EN50" s="78"/>
      <c r="EO50" s="79"/>
      <c r="EP50" s="79"/>
      <c r="EQ50" s="80"/>
      <c r="ER50" s="81"/>
      <c r="ES50" s="82"/>
      <c r="ET50" s="83"/>
      <c r="EU50" s="78"/>
      <c r="EV50" s="79"/>
      <c r="EW50" s="79"/>
      <c r="EX50" s="80"/>
      <c r="EY50" s="81"/>
      <c r="EZ50" s="82"/>
      <c r="FA50" s="83"/>
      <c r="FB50" s="78"/>
      <c r="FC50" s="79"/>
      <c r="FD50" s="79"/>
      <c r="FE50" s="80"/>
      <c r="FF50" s="81"/>
      <c r="FG50" s="82"/>
      <c r="FH50" s="83"/>
      <c r="FI50" s="78"/>
      <c r="FJ50" s="79"/>
      <c r="FK50" s="79"/>
      <c r="FL50" s="80"/>
      <c r="FM50" s="81"/>
      <c r="FN50" s="82"/>
      <c r="FO50" s="83"/>
      <c r="FP50" s="78"/>
      <c r="FQ50" s="79"/>
      <c r="FR50" s="79"/>
      <c r="FS50" s="80"/>
      <c r="FT50" s="81"/>
      <c r="FU50" s="82"/>
      <c r="FV50" s="83"/>
      <c r="FW50" s="78"/>
      <c r="FX50" s="79"/>
      <c r="FY50" s="79"/>
      <c r="FZ50" s="80"/>
      <c r="GA50" s="81"/>
      <c r="GB50" s="82"/>
      <c r="GC50" s="83"/>
      <c r="GD50" s="78"/>
      <c r="GE50" s="79"/>
      <c r="GF50" s="79"/>
      <c r="GG50" s="80"/>
      <c r="GH50" s="81"/>
      <c r="GI50" s="82"/>
      <c r="GJ50" s="83"/>
      <c r="GK50" s="78"/>
      <c r="GL50" s="79"/>
      <c r="GM50" s="79"/>
      <c r="GN50" s="80"/>
      <c r="GO50" s="81"/>
      <c r="GP50" s="82"/>
      <c r="GQ50" s="83"/>
      <c r="GR50" s="78"/>
      <c r="GS50" s="79"/>
      <c r="GT50" s="79"/>
      <c r="GU50" s="80"/>
      <c r="GV50" s="81"/>
      <c r="GW50" s="82"/>
      <c r="GX50" s="83"/>
      <c r="GY50" s="78"/>
      <c r="GZ50" s="79"/>
      <c r="HA50" s="79"/>
      <c r="HB50" s="80"/>
      <c r="HC50" s="81"/>
      <c r="HD50" s="82"/>
      <c r="HE50" s="83"/>
      <c r="HF50" s="78"/>
      <c r="HG50" s="79"/>
      <c r="HH50" s="79"/>
      <c r="HI50" s="80"/>
      <c r="HJ50" s="81"/>
      <c r="HK50" s="82"/>
      <c r="HL50" s="83"/>
      <c r="HM50" s="78"/>
      <c r="HN50" s="79"/>
      <c r="HO50" s="79"/>
      <c r="HP50" s="80"/>
      <c r="HQ50" s="81"/>
      <c r="HR50" s="82"/>
      <c r="HS50" s="83"/>
      <c r="HT50" s="78"/>
      <c r="HU50" s="79"/>
      <c r="HV50" s="79"/>
      <c r="HW50" s="80"/>
      <c r="HX50" s="81"/>
      <c r="HY50" s="82"/>
      <c r="HZ50" s="83"/>
      <c r="IA50" s="78"/>
      <c r="IB50" s="79"/>
      <c r="IC50" s="79"/>
      <c r="ID50" s="80"/>
      <c r="IE50" s="81"/>
      <c r="IF50" s="82"/>
      <c r="IG50" s="83"/>
      <c r="IH50" s="78"/>
      <c r="II50" s="79"/>
      <c r="IJ50" s="79"/>
      <c r="IK50" s="80"/>
      <c r="IL50" s="81"/>
      <c r="IM50" s="82"/>
      <c r="IN50" s="83"/>
      <c r="IO50" s="78"/>
      <c r="IP50" s="79"/>
      <c r="IQ50" s="79"/>
      <c r="IR50" s="80"/>
      <c r="IS50" s="81"/>
      <c r="IT50" s="82"/>
      <c r="IU50" s="83"/>
      <c r="IV50" s="78"/>
      <c r="IW50" s="79"/>
      <c r="IX50" s="79"/>
      <c r="IY50" s="80"/>
      <c r="IZ50" s="81"/>
      <c r="JA50" s="82"/>
      <c r="JB50" s="83"/>
      <c r="JC50" s="78"/>
      <c r="JD50" s="79"/>
      <c r="JE50" s="79"/>
      <c r="JF50" s="80"/>
      <c r="JG50" s="81"/>
      <c r="JH50" s="82"/>
      <c r="JI50" s="83"/>
      <c r="JJ50" s="78"/>
      <c r="JK50" s="79"/>
      <c r="JL50" s="79"/>
      <c r="JM50" s="80"/>
      <c r="JN50" s="81"/>
      <c r="JO50" s="82"/>
      <c r="JP50" s="83"/>
      <c r="JQ50" s="78"/>
      <c r="JR50" s="79"/>
      <c r="JS50" s="79"/>
      <c r="JT50" s="80"/>
      <c r="JU50" s="81"/>
      <c r="JV50" s="82"/>
      <c r="JW50" s="83"/>
      <c r="JX50" s="78"/>
      <c r="JY50" s="79"/>
      <c r="JZ50" s="79"/>
      <c r="KA50" s="80"/>
      <c r="KB50" s="81"/>
      <c r="KC50" s="82"/>
      <c r="KD50" s="83"/>
      <c r="KE50" s="78"/>
      <c r="KF50" s="79"/>
      <c r="KG50" s="79"/>
      <c r="KH50" s="80"/>
      <c r="KI50" s="81"/>
      <c r="KJ50" s="82"/>
      <c r="KK50" s="83"/>
      <c r="KL50" s="78"/>
      <c r="KM50" s="79"/>
      <c r="KN50" s="79"/>
      <c r="KO50" s="80"/>
      <c r="KP50" s="81"/>
      <c r="KQ50" s="82"/>
      <c r="KR50" s="83"/>
      <c r="KS50" s="78"/>
      <c r="KT50" s="79"/>
      <c r="KU50" s="79"/>
      <c r="KV50" s="80"/>
      <c r="KW50" s="81"/>
      <c r="KX50" s="82"/>
      <c r="KY50" s="83"/>
      <c r="KZ50" s="78"/>
      <c r="LA50" s="79"/>
      <c r="LB50" s="79"/>
      <c r="LC50" s="80"/>
      <c r="LD50" s="81"/>
      <c r="LE50" s="82"/>
      <c r="LF50" s="83"/>
      <c r="LG50" s="78"/>
      <c r="LH50" s="79"/>
      <c r="LI50" s="79"/>
      <c r="LJ50" s="80"/>
      <c r="LK50" s="81"/>
      <c r="LL50" s="82"/>
      <c r="LM50" s="83"/>
      <c r="LN50" s="78"/>
      <c r="LO50" s="79"/>
      <c r="LP50" s="79"/>
      <c r="LQ50" s="80"/>
      <c r="LR50" s="81"/>
      <c r="LS50" s="82"/>
      <c r="LT50" s="83"/>
      <c r="LU50" s="78"/>
      <c r="LV50" s="79"/>
      <c r="LW50" s="79"/>
      <c r="LX50" s="80"/>
      <c r="LY50" s="81"/>
      <c r="LZ50" s="82"/>
      <c r="MA50" s="83"/>
      <c r="MB50" s="78"/>
      <c r="MC50" s="79"/>
      <c r="MD50" s="79"/>
      <c r="ME50" s="80"/>
      <c r="MF50" s="81"/>
      <c r="MG50" s="82"/>
      <c r="MH50" s="83"/>
      <c r="MI50" s="78"/>
      <c r="MJ50" s="79"/>
      <c r="MK50" s="79"/>
      <c r="ML50" s="80"/>
      <c r="MM50" s="81"/>
      <c r="MN50" s="82"/>
      <c r="MO50" s="83"/>
      <c r="MP50" s="78"/>
      <c r="MQ50" s="79"/>
      <c r="MR50" s="79"/>
      <c r="MS50" s="80"/>
      <c r="MT50" s="81"/>
      <c r="MU50" s="82"/>
      <c r="MV50" s="83"/>
      <c r="MW50" s="78"/>
      <c r="MX50" s="79"/>
      <c r="MY50" s="79"/>
      <c r="MZ50" s="80"/>
      <c r="NA50" s="81"/>
      <c r="NB50" s="82"/>
      <c r="NC50" s="83"/>
      <c r="ND50" s="78"/>
      <c r="NE50" s="79"/>
      <c r="NF50" s="79"/>
      <c r="NG50" s="80"/>
      <c r="NH50" s="81"/>
      <c r="NI50" s="82"/>
      <c r="NJ50" s="83"/>
      <c r="NK50" s="78"/>
      <c r="NL50" s="79"/>
      <c r="NM50" s="79"/>
      <c r="NN50" s="80"/>
      <c r="NO50" s="81"/>
      <c r="NP50" s="82"/>
      <c r="NQ50" s="83"/>
    </row>
    <row r="51" spans="1:381" ht="15" customHeight="1" x14ac:dyDescent="0.15">
      <c r="A51" s="65">
        <v>46</v>
      </c>
      <c r="B51" s="76"/>
      <c r="C51" s="77"/>
      <c r="D51" s="78"/>
      <c r="E51" s="79"/>
      <c r="F51" s="79"/>
      <c r="G51" s="80"/>
      <c r="H51" s="81"/>
      <c r="I51" s="82"/>
      <c r="J51" s="83"/>
      <c r="K51" s="78"/>
      <c r="L51" s="79"/>
      <c r="M51" s="79"/>
      <c r="N51" s="80"/>
      <c r="O51" s="81"/>
      <c r="P51" s="82"/>
      <c r="Q51" s="83"/>
      <c r="R51" s="78"/>
      <c r="S51" s="79"/>
      <c r="T51" s="79"/>
      <c r="U51" s="80"/>
      <c r="V51" s="81"/>
      <c r="W51" s="82"/>
      <c r="X51" s="83"/>
      <c r="Y51" s="78"/>
      <c r="Z51" s="79"/>
      <c r="AA51" s="79"/>
      <c r="AB51" s="80"/>
      <c r="AC51" s="81"/>
      <c r="AD51" s="82"/>
      <c r="AE51" s="83"/>
      <c r="AF51" s="78"/>
      <c r="AG51" s="79"/>
      <c r="AH51" s="79"/>
      <c r="AI51" s="80"/>
      <c r="AJ51" s="81"/>
      <c r="AK51" s="82"/>
      <c r="AL51" s="83"/>
      <c r="AM51" s="78"/>
      <c r="AN51" s="79"/>
      <c r="AO51" s="79"/>
      <c r="AP51" s="80"/>
      <c r="AQ51" s="81"/>
      <c r="AR51" s="82"/>
      <c r="AS51" s="83"/>
      <c r="AT51" s="78"/>
      <c r="AU51" s="79"/>
      <c r="AV51" s="79"/>
      <c r="AW51" s="80"/>
      <c r="AX51" s="81"/>
      <c r="AY51" s="82"/>
      <c r="AZ51" s="83"/>
      <c r="BA51" s="78"/>
      <c r="BB51" s="79"/>
      <c r="BC51" s="79"/>
      <c r="BD51" s="80"/>
      <c r="BE51" s="81"/>
      <c r="BF51" s="82"/>
      <c r="BG51" s="83"/>
      <c r="BH51" s="78"/>
      <c r="BI51" s="79"/>
      <c r="BJ51" s="79"/>
      <c r="BK51" s="80"/>
      <c r="BL51" s="81"/>
      <c r="BM51" s="82"/>
      <c r="BN51" s="83"/>
      <c r="BO51" s="78"/>
      <c r="BP51" s="79"/>
      <c r="BQ51" s="79"/>
      <c r="BR51" s="80"/>
      <c r="BS51" s="81"/>
      <c r="BT51" s="82"/>
      <c r="BU51" s="83"/>
      <c r="BV51" s="78"/>
      <c r="BW51" s="79"/>
      <c r="BX51" s="79"/>
      <c r="BY51" s="80"/>
      <c r="BZ51" s="81"/>
      <c r="CA51" s="82"/>
      <c r="CB51" s="83"/>
      <c r="CC51" s="78"/>
      <c r="CD51" s="79"/>
      <c r="CE51" s="79"/>
      <c r="CF51" s="80"/>
      <c r="CG51" s="81"/>
      <c r="CH51" s="82"/>
      <c r="CI51" s="83"/>
      <c r="CJ51" s="78"/>
      <c r="CK51" s="79"/>
      <c r="CL51" s="79"/>
      <c r="CM51" s="80"/>
      <c r="CN51" s="81"/>
      <c r="CO51" s="82"/>
      <c r="CP51" s="83"/>
      <c r="CQ51" s="78"/>
      <c r="CR51" s="79"/>
      <c r="CS51" s="79"/>
      <c r="CT51" s="80"/>
      <c r="CU51" s="81"/>
      <c r="CV51" s="82"/>
      <c r="CW51" s="83"/>
      <c r="CX51" s="78"/>
      <c r="CY51" s="79"/>
      <c r="CZ51" s="79"/>
      <c r="DA51" s="80"/>
      <c r="DB51" s="81"/>
      <c r="DC51" s="82"/>
      <c r="DD51" s="83"/>
      <c r="DE51" s="78"/>
      <c r="DF51" s="79"/>
      <c r="DG51" s="79"/>
      <c r="DH51" s="80"/>
      <c r="DI51" s="81"/>
      <c r="DJ51" s="82"/>
      <c r="DK51" s="83"/>
      <c r="DL51" s="78"/>
      <c r="DM51" s="79"/>
      <c r="DN51" s="79"/>
      <c r="DO51" s="80"/>
      <c r="DP51" s="81"/>
      <c r="DQ51" s="82"/>
      <c r="DR51" s="83"/>
      <c r="DS51" s="78"/>
      <c r="DT51" s="79"/>
      <c r="DU51" s="79"/>
      <c r="DV51" s="80"/>
      <c r="DW51" s="81"/>
      <c r="DX51" s="82"/>
      <c r="DY51" s="83"/>
      <c r="DZ51" s="78"/>
      <c r="EA51" s="79"/>
      <c r="EB51" s="79"/>
      <c r="EC51" s="80"/>
      <c r="ED51" s="81"/>
      <c r="EE51" s="82"/>
      <c r="EF51" s="83"/>
      <c r="EG51" s="78"/>
      <c r="EH51" s="79"/>
      <c r="EI51" s="79"/>
      <c r="EJ51" s="80"/>
      <c r="EK51" s="81"/>
      <c r="EL51" s="82"/>
      <c r="EM51" s="83"/>
      <c r="EN51" s="78"/>
      <c r="EO51" s="79"/>
      <c r="EP51" s="79"/>
      <c r="EQ51" s="80"/>
      <c r="ER51" s="81"/>
      <c r="ES51" s="82"/>
      <c r="ET51" s="83"/>
      <c r="EU51" s="78"/>
      <c r="EV51" s="79"/>
      <c r="EW51" s="79"/>
      <c r="EX51" s="80"/>
      <c r="EY51" s="81"/>
      <c r="EZ51" s="82"/>
      <c r="FA51" s="83"/>
      <c r="FB51" s="78"/>
      <c r="FC51" s="79"/>
      <c r="FD51" s="79"/>
      <c r="FE51" s="80"/>
      <c r="FF51" s="81"/>
      <c r="FG51" s="82"/>
      <c r="FH51" s="83"/>
      <c r="FI51" s="78"/>
      <c r="FJ51" s="79"/>
      <c r="FK51" s="79"/>
      <c r="FL51" s="80"/>
      <c r="FM51" s="81"/>
      <c r="FN51" s="82"/>
      <c r="FO51" s="83"/>
      <c r="FP51" s="78"/>
      <c r="FQ51" s="79"/>
      <c r="FR51" s="79"/>
      <c r="FS51" s="80"/>
      <c r="FT51" s="81"/>
      <c r="FU51" s="82"/>
      <c r="FV51" s="83"/>
      <c r="FW51" s="78"/>
      <c r="FX51" s="79"/>
      <c r="FY51" s="79"/>
      <c r="FZ51" s="80"/>
      <c r="GA51" s="81"/>
      <c r="GB51" s="82"/>
      <c r="GC51" s="83"/>
      <c r="GD51" s="78"/>
      <c r="GE51" s="79"/>
      <c r="GF51" s="79"/>
      <c r="GG51" s="80"/>
      <c r="GH51" s="81"/>
      <c r="GI51" s="82"/>
      <c r="GJ51" s="83"/>
      <c r="GK51" s="78"/>
      <c r="GL51" s="79"/>
      <c r="GM51" s="79"/>
      <c r="GN51" s="80"/>
      <c r="GO51" s="81"/>
      <c r="GP51" s="82"/>
      <c r="GQ51" s="83"/>
      <c r="GR51" s="78"/>
      <c r="GS51" s="79"/>
      <c r="GT51" s="79"/>
      <c r="GU51" s="80"/>
      <c r="GV51" s="81"/>
      <c r="GW51" s="82"/>
      <c r="GX51" s="83"/>
      <c r="GY51" s="78"/>
      <c r="GZ51" s="79"/>
      <c r="HA51" s="79"/>
      <c r="HB51" s="80"/>
      <c r="HC51" s="81"/>
      <c r="HD51" s="82"/>
      <c r="HE51" s="83"/>
      <c r="HF51" s="78"/>
      <c r="HG51" s="79"/>
      <c r="HH51" s="79"/>
      <c r="HI51" s="80"/>
      <c r="HJ51" s="81"/>
      <c r="HK51" s="82"/>
      <c r="HL51" s="83"/>
      <c r="HM51" s="78"/>
      <c r="HN51" s="79"/>
      <c r="HO51" s="79"/>
      <c r="HP51" s="80"/>
      <c r="HQ51" s="81"/>
      <c r="HR51" s="82"/>
      <c r="HS51" s="83"/>
      <c r="HT51" s="78"/>
      <c r="HU51" s="79"/>
      <c r="HV51" s="79"/>
      <c r="HW51" s="80"/>
      <c r="HX51" s="81"/>
      <c r="HY51" s="82"/>
      <c r="HZ51" s="83"/>
      <c r="IA51" s="78"/>
      <c r="IB51" s="79"/>
      <c r="IC51" s="79"/>
      <c r="ID51" s="80"/>
      <c r="IE51" s="81"/>
      <c r="IF51" s="82"/>
      <c r="IG51" s="83"/>
      <c r="IH51" s="78"/>
      <c r="II51" s="79"/>
      <c r="IJ51" s="79"/>
      <c r="IK51" s="80"/>
      <c r="IL51" s="81"/>
      <c r="IM51" s="82"/>
      <c r="IN51" s="83"/>
      <c r="IO51" s="78"/>
      <c r="IP51" s="79"/>
      <c r="IQ51" s="79"/>
      <c r="IR51" s="80"/>
      <c r="IS51" s="81"/>
      <c r="IT51" s="82"/>
      <c r="IU51" s="83"/>
      <c r="IV51" s="78"/>
      <c r="IW51" s="79"/>
      <c r="IX51" s="79"/>
      <c r="IY51" s="80"/>
      <c r="IZ51" s="81"/>
      <c r="JA51" s="82"/>
      <c r="JB51" s="83"/>
      <c r="JC51" s="78"/>
      <c r="JD51" s="79"/>
      <c r="JE51" s="79"/>
      <c r="JF51" s="80"/>
      <c r="JG51" s="81"/>
      <c r="JH51" s="82"/>
      <c r="JI51" s="83"/>
      <c r="JJ51" s="78"/>
      <c r="JK51" s="79"/>
      <c r="JL51" s="79"/>
      <c r="JM51" s="80"/>
      <c r="JN51" s="81"/>
      <c r="JO51" s="82"/>
      <c r="JP51" s="83"/>
      <c r="JQ51" s="78"/>
      <c r="JR51" s="79"/>
      <c r="JS51" s="79"/>
      <c r="JT51" s="80"/>
      <c r="JU51" s="81"/>
      <c r="JV51" s="82"/>
      <c r="JW51" s="83"/>
      <c r="JX51" s="78"/>
      <c r="JY51" s="79"/>
      <c r="JZ51" s="79"/>
      <c r="KA51" s="80"/>
      <c r="KB51" s="81"/>
      <c r="KC51" s="82"/>
      <c r="KD51" s="83"/>
      <c r="KE51" s="78"/>
      <c r="KF51" s="79"/>
      <c r="KG51" s="79"/>
      <c r="KH51" s="80"/>
      <c r="KI51" s="81"/>
      <c r="KJ51" s="82"/>
      <c r="KK51" s="83"/>
      <c r="KL51" s="78"/>
      <c r="KM51" s="79"/>
      <c r="KN51" s="79"/>
      <c r="KO51" s="80"/>
      <c r="KP51" s="81"/>
      <c r="KQ51" s="82"/>
      <c r="KR51" s="83"/>
      <c r="KS51" s="78"/>
      <c r="KT51" s="79"/>
      <c r="KU51" s="79"/>
      <c r="KV51" s="80"/>
      <c r="KW51" s="81"/>
      <c r="KX51" s="82"/>
      <c r="KY51" s="83"/>
      <c r="KZ51" s="78"/>
      <c r="LA51" s="79"/>
      <c r="LB51" s="79"/>
      <c r="LC51" s="80"/>
      <c r="LD51" s="81"/>
      <c r="LE51" s="82"/>
      <c r="LF51" s="83"/>
      <c r="LG51" s="78"/>
      <c r="LH51" s="79"/>
      <c r="LI51" s="79"/>
      <c r="LJ51" s="80"/>
      <c r="LK51" s="81"/>
      <c r="LL51" s="82"/>
      <c r="LM51" s="83"/>
      <c r="LN51" s="78"/>
      <c r="LO51" s="79"/>
      <c r="LP51" s="79"/>
      <c r="LQ51" s="80"/>
      <c r="LR51" s="81"/>
      <c r="LS51" s="82"/>
      <c r="LT51" s="83"/>
      <c r="LU51" s="78"/>
      <c r="LV51" s="79"/>
      <c r="LW51" s="79"/>
      <c r="LX51" s="80"/>
      <c r="LY51" s="81"/>
      <c r="LZ51" s="82"/>
      <c r="MA51" s="83"/>
      <c r="MB51" s="78"/>
      <c r="MC51" s="79"/>
      <c r="MD51" s="79"/>
      <c r="ME51" s="80"/>
      <c r="MF51" s="81"/>
      <c r="MG51" s="82"/>
      <c r="MH51" s="83"/>
      <c r="MI51" s="78"/>
      <c r="MJ51" s="79"/>
      <c r="MK51" s="79"/>
      <c r="ML51" s="80"/>
      <c r="MM51" s="81"/>
      <c r="MN51" s="82"/>
      <c r="MO51" s="83"/>
      <c r="MP51" s="78"/>
      <c r="MQ51" s="79"/>
      <c r="MR51" s="79"/>
      <c r="MS51" s="80"/>
      <c r="MT51" s="81"/>
      <c r="MU51" s="82"/>
      <c r="MV51" s="83"/>
      <c r="MW51" s="78"/>
      <c r="MX51" s="79"/>
      <c r="MY51" s="79"/>
      <c r="MZ51" s="80"/>
      <c r="NA51" s="81"/>
      <c r="NB51" s="82"/>
      <c r="NC51" s="83"/>
      <c r="ND51" s="78"/>
      <c r="NE51" s="79"/>
      <c r="NF51" s="79"/>
      <c r="NG51" s="80"/>
      <c r="NH51" s="81"/>
      <c r="NI51" s="82"/>
      <c r="NJ51" s="83"/>
      <c r="NK51" s="78"/>
      <c r="NL51" s="79"/>
      <c r="NM51" s="79"/>
      <c r="NN51" s="80"/>
      <c r="NO51" s="81"/>
      <c r="NP51" s="82"/>
      <c r="NQ51" s="83"/>
    </row>
    <row r="52" spans="1:381" ht="15" customHeight="1" x14ac:dyDescent="0.15">
      <c r="A52" s="65">
        <v>47</v>
      </c>
      <c r="B52" s="76"/>
      <c r="C52" s="77">
        <v>0.91666666666667196</v>
      </c>
      <c r="D52" s="78"/>
      <c r="E52" s="79"/>
      <c r="F52" s="79"/>
      <c r="G52" s="80"/>
      <c r="H52" s="81"/>
      <c r="I52" s="82"/>
      <c r="J52" s="83"/>
      <c r="K52" s="78"/>
      <c r="L52" s="79"/>
      <c r="M52" s="79"/>
      <c r="N52" s="80"/>
      <c r="O52" s="81"/>
      <c r="P52" s="82"/>
      <c r="Q52" s="83"/>
      <c r="R52" s="78"/>
      <c r="S52" s="79"/>
      <c r="T52" s="79"/>
      <c r="U52" s="80"/>
      <c r="V52" s="81"/>
      <c r="W52" s="82"/>
      <c r="X52" s="83"/>
      <c r="Y52" s="78"/>
      <c r="Z52" s="79"/>
      <c r="AA52" s="79"/>
      <c r="AB52" s="80"/>
      <c r="AC52" s="81"/>
      <c r="AD52" s="82"/>
      <c r="AE52" s="83"/>
      <c r="AF52" s="78"/>
      <c r="AG52" s="79"/>
      <c r="AH52" s="79"/>
      <c r="AI52" s="80"/>
      <c r="AJ52" s="81"/>
      <c r="AK52" s="82"/>
      <c r="AL52" s="83"/>
      <c r="AM52" s="78"/>
      <c r="AN52" s="79"/>
      <c r="AO52" s="79"/>
      <c r="AP52" s="80"/>
      <c r="AQ52" s="81"/>
      <c r="AR52" s="82"/>
      <c r="AS52" s="83"/>
      <c r="AT52" s="78"/>
      <c r="AU52" s="79"/>
      <c r="AV52" s="79"/>
      <c r="AW52" s="80"/>
      <c r="AX52" s="81"/>
      <c r="AY52" s="82"/>
      <c r="AZ52" s="83"/>
      <c r="BA52" s="78"/>
      <c r="BB52" s="79"/>
      <c r="BC52" s="79"/>
      <c r="BD52" s="80"/>
      <c r="BE52" s="81"/>
      <c r="BF52" s="82"/>
      <c r="BG52" s="83"/>
      <c r="BH52" s="78"/>
      <c r="BI52" s="79"/>
      <c r="BJ52" s="79"/>
      <c r="BK52" s="80"/>
      <c r="BL52" s="81"/>
      <c r="BM52" s="82"/>
      <c r="BN52" s="83"/>
      <c r="BO52" s="78"/>
      <c r="BP52" s="79"/>
      <c r="BQ52" s="79"/>
      <c r="BR52" s="80"/>
      <c r="BS52" s="81"/>
      <c r="BT52" s="82"/>
      <c r="BU52" s="83"/>
      <c r="BV52" s="78"/>
      <c r="BW52" s="79"/>
      <c r="BX52" s="79"/>
      <c r="BY52" s="80"/>
      <c r="BZ52" s="81"/>
      <c r="CA52" s="82"/>
      <c r="CB52" s="83"/>
      <c r="CC52" s="78"/>
      <c r="CD52" s="79"/>
      <c r="CE52" s="79"/>
      <c r="CF52" s="80"/>
      <c r="CG52" s="81"/>
      <c r="CH52" s="82"/>
      <c r="CI52" s="83"/>
      <c r="CJ52" s="78"/>
      <c r="CK52" s="79"/>
      <c r="CL52" s="79"/>
      <c r="CM52" s="80"/>
      <c r="CN52" s="81"/>
      <c r="CO52" s="82"/>
      <c r="CP52" s="83"/>
      <c r="CQ52" s="78"/>
      <c r="CR52" s="79"/>
      <c r="CS52" s="79"/>
      <c r="CT52" s="80"/>
      <c r="CU52" s="81"/>
      <c r="CV52" s="82"/>
      <c r="CW52" s="83"/>
      <c r="CX52" s="78"/>
      <c r="CY52" s="79"/>
      <c r="CZ52" s="79"/>
      <c r="DA52" s="80"/>
      <c r="DB52" s="81"/>
      <c r="DC52" s="82"/>
      <c r="DD52" s="83"/>
      <c r="DE52" s="78"/>
      <c r="DF52" s="79"/>
      <c r="DG52" s="79"/>
      <c r="DH52" s="80"/>
      <c r="DI52" s="81"/>
      <c r="DJ52" s="82"/>
      <c r="DK52" s="83"/>
      <c r="DL52" s="78"/>
      <c r="DM52" s="79"/>
      <c r="DN52" s="79"/>
      <c r="DO52" s="80"/>
      <c r="DP52" s="81"/>
      <c r="DQ52" s="82"/>
      <c r="DR52" s="83"/>
      <c r="DS52" s="78"/>
      <c r="DT52" s="79"/>
      <c r="DU52" s="79"/>
      <c r="DV52" s="80"/>
      <c r="DW52" s="81"/>
      <c r="DX52" s="82"/>
      <c r="DY52" s="83"/>
      <c r="DZ52" s="78"/>
      <c r="EA52" s="79"/>
      <c r="EB52" s="79"/>
      <c r="EC52" s="80"/>
      <c r="ED52" s="81"/>
      <c r="EE52" s="82"/>
      <c r="EF52" s="83"/>
      <c r="EG52" s="78"/>
      <c r="EH52" s="79"/>
      <c r="EI52" s="79"/>
      <c r="EJ52" s="80"/>
      <c r="EK52" s="81"/>
      <c r="EL52" s="82"/>
      <c r="EM52" s="83"/>
      <c r="EN52" s="78"/>
      <c r="EO52" s="79"/>
      <c r="EP52" s="79"/>
      <c r="EQ52" s="80"/>
      <c r="ER52" s="81"/>
      <c r="ES52" s="82"/>
      <c r="ET52" s="83"/>
      <c r="EU52" s="78"/>
      <c r="EV52" s="79"/>
      <c r="EW52" s="79"/>
      <c r="EX52" s="80"/>
      <c r="EY52" s="81"/>
      <c r="EZ52" s="82"/>
      <c r="FA52" s="83"/>
      <c r="FB52" s="78"/>
      <c r="FC52" s="79"/>
      <c r="FD52" s="79"/>
      <c r="FE52" s="80"/>
      <c r="FF52" s="81"/>
      <c r="FG52" s="82"/>
      <c r="FH52" s="83"/>
      <c r="FI52" s="78"/>
      <c r="FJ52" s="79"/>
      <c r="FK52" s="79"/>
      <c r="FL52" s="80"/>
      <c r="FM52" s="81"/>
      <c r="FN52" s="82"/>
      <c r="FO52" s="83"/>
      <c r="FP52" s="78"/>
      <c r="FQ52" s="79"/>
      <c r="FR52" s="79"/>
      <c r="FS52" s="80"/>
      <c r="FT52" s="81"/>
      <c r="FU52" s="82"/>
      <c r="FV52" s="83"/>
      <c r="FW52" s="78"/>
      <c r="FX52" s="79"/>
      <c r="FY52" s="79"/>
      <c r="FZ52" s="80"/>
      <c r="GA52" s="81"/>
      <c r="GB52" s="82"/>
      <c r="GC52" s="83"/>
      <c r="GD52" s="78"/>
      <c r="GE52" s="79"/>
      <c r="GF52" s="79"/>
      <c r="GG52" s="80"/>
      <c r="GH52" s="81"/>
      <c r="GI52" s="82"/>
      <c r="GJ52" s="83"/>
      <c r="GK52" s="78"/>
      <c r="GL52" s="79"/>
      <c r="GM52" s="79"/>
      <c r="GN52" s="80"/>
      <c r="GO52" s="81"/>
      <c r="GP52" s="82"/>
      <c r="GQ52" s="83"/>
      <c r="GR52" s="78"/>
      <c r="GS52" s="79"/>
      <c r="GT52" s="79"/>
      <c r="GU52" s="80"/>
      <c r="GV52" s="81"/>
      <c r="GW52" s="82"/>
      <c r="GX52" s="83"/>
      <c r="GY52" s="78"/>
      <c r="GZ52" s="79"/>
      <c r="HA52" s="79"/>
      <c r="HB52" s="80"/>
      <c r="HC52" s="81"/>
      <c r="HD52" s="82"/>
      <c r="HE52" s="83"/>
      <c r="HF52" s="78"/>
      <c r="HG52" s="79"/>
      <c r="HH52" s="79"/>
      <c r="HI52" s="80"/>
      <c r="HJ52" s="81"/>
      <c r="HK52" s="82"/>
      <c r="HL52" s="83"/>
      <c r="HM52" s="78"/>
      <c r="HN52" s="79"/>
      <c r="HO52" s="79"/>
      <c r="HP52" s="80"/>
      <c r="HQ52" s="81"/>
      <c r="HR52" s="82"/>
      <c r="HS52" s="83"/>
      <c r="HT52" s="78"/>
      <c r="HU52" s="79"/>
      <c r="HV52" s="79"/>
      <c r="HW52" s="80"/>
      <c r="HX52" s="81"/>
      <c r="HY52" s="82"/>
      <c r="HZ52" s="83"/>
      <c r="IA52" s="78"/>
      <c r="IB52" s="79"/>
      <c r="IC52" s="79"/>
      <c r="ID52" s="80"/>
      <c r="IE52" s="81"/>
      <c r="IF52" s="82"/>
      <c r="IG52" s="83"/>
      <c r="IH52" s="78"/>
      <c r="II52" s="79"/>
      <c r="IJ52" s="79"/>
      <c r="IK52" s="80"/>
      <c r="IL52" s="81"/>
      <c r="IM52" s="82"/>
      <c r="IN52" s="83"/>
      <c r="IO52" s="78"/>
      <c r="IP52" s="79"/>
      <c r="IQ52" s="79"/>
      <c r="IR52" s="80"/>
      <c r="IS52" s="81"/>
      <c r="IT52" s="82"/>
      <c r="IU52" s="83"/>
      <c r="IV52" s="78"/>
      <c r="IW52" s="79"/>
      <c r="IX52" s="79"/>
      <c r="IY52" s="80"/>
      <c r="IZ52" s="81"/>
      <c r="JA52" s="82"/>
      <c r="JB52" s="83"/>
      <c r="JC52" s="78"/>
      <c r="JD52" s="79"/>
      <c r="JE52" s="79"/>
      <c r="JF52" s="80"/>
      <c r="JG52" s="81"/>
      <c r="JH52" s="82"/>
      <c r="JI52" s="83"/>
      <c r="JJ52" s="78"/>
      <c r="JK52" s="79"/>
      <c r="JL52" s="79"/>
      <c r="JM52" s="80"/>
      <c r="JN52" s="81"/>
      <c r="JO52" s="82"/>
      <c r="JP52" s="83"/>
      <c r="JQ52" s="78"/>
      <c r="JR52" s="79"/>
      <c r="JS52" s="79"/>
      <c r="JT52" s="80"/>
      <c r="JU52" s="81"/>
      <c r="JV52" s="82"/>
      <c r="JW52" s="83"/>
      <c r="JX52" s="78"/>
      <c r="JY52" s="79"/>
      <c r="JZ52" s="79"/>
      <c r="KA52" s="80"/>
      <c r="KB52" s="81"/>
      <c r="KC52" s="82"/>
      <c r="KD52" s="83"/>
      <c r="KE52" s="78"/>
      <c r="KF52" s="79"/>
      <c r="KG52" s="79"/>
      <c r="KH52" s="80"/>
      <c r="KI52" s="81"/>
      <c r="KJ52" s="82"/>
      <c r="KK52" s="83"/>
      <c r="KL52" s="78"/>
      <c r="KM52" s="79"/>
      <c r="KN52" s="79"/>
      <c r="KO52" s="80"/>
      <c r="KP52" s="81"/>
      <c r="KQ52" s="82"/>
      <c r="KR52" s="83"/>
      <c r="KS52" s="78"/>
      <c r="KT52" s="79"/>
      <c r="KU52" s="79"/>
      <c r="KV52" s="80"/>
      <c r="KW52" s="81"/>
      <c r="KX52" s="82"/>
      <c r="KY52" s="83"/>
      <c r="KZ52" s="78"/>
      <c r="LA52" s="79"/>
      <c r="LB52" s="79"/>
      <c r="LC52" s="80"/>
      <c r="LD52" s="81"/>
      <c r="LE52" s="82"/>
      <c r="LF52" s="83"/>
      <c r="LG52" s="78"/>
      <c r="LH52" s="79"/>
      <c r="LI52" s="79"/>
      <c r="LJ52" s="80"/>
      <c r="LK52" s="81"/>
      <c r="LL52" s="82"/>
      <c r="LM52" s="83"/>
      <c r="LN52" s="78"/>
      <c r="LO52" s="79"/>
      <c r="LP52" s="79"/>
      <c r="LQ52" s="80"/>
      <c r="LR52" s="81"/>
      <c r="LS52" s="82"/>
      <c r="LT52" s="83"/>
      <c r="LU52" s="78"/>
      <c r="LV52" s="79"/>
      <c r="LW52" s="79"/>
      <c r="LX52" s="80"/>
      <c r="LY52" s="81"/>
      <c r="LZ52" s="82"/>
      <c r="MA52" s="83"/>
      <c r="MB52" s="78"/>
      <c r="MC52" s="79"/>
      <c r="MD52" s="79"/>
      <c r="ME52" s="80"/>
      <c r="MF52" s="81"/>
      <c r="MG52" s="82"/>
      <c r="MH52" s="83"/>
      <c r="MI52" s="78"/>
      <c r="MJ52" s="79"/>
      <c r="MK52" s="79"/>
      <c r="ML52" s="80"/>
      <c r="MM52" s="81"/>
      <c r="MN52" s="82"/>
      <c r="MO52" s="83"/>
      <c r="MP52" s="78"/>
      <c r="MQ52" s="79"/>
      <c r="MR52" s="79"/>
      <c r="MS52" s="80"/>
      <c r="MT52" s="81"/>
      <c r="MU52" s="82"/>
      <c r="MV52" s="83"/>
      <c r="MW52" s="78"/>
      <c r="MX52" s="79"/>
      <c r="MY52" s="79"/>
      <c r="MZ52" s="80"/>
      <c r="NA52" s="81"/>
      <c r="NB52" s="82"/>
      <c r="NC52" s="83"/>
      <c r="ND52" s="78"/>
      <c r="NE52" s="79"/>
      <c r="NF52" s="79"/>
      <c r="NG52" s="80"/>
      <c r="NH52" s="81"/>
      <c r="NI52" s="82"/>
      <c r="NJ52" s="83"/>
      <c r="NK52" s="78"/>
      <c r="NL52" s="79"/>
      <c r="NM52" s="79"/>
      <c r="NN52" s="80"/>
      <c r="NO52" s="81"/>
      <c r="NP52" s="82"/>
      <c r="NQ52" s="83"/>
    </row>
    <row r="53" spans="1:381" ht="15" customHeight="1" x14ac:dyDescent="0.15">
      <c r="A53" s="65">
        <v>48</v>
      </c>
      <c r="B53" s="76"/>
      <c r="C53" s="77"/>
      <c r="D53" s="78"/>
      <c r="E53" s="79"/>
      <c r="F53" s="79"/>
      <c r="G53" s="80"/>
      <c r="H53" s="81"/>
      <c r="I53" s="82"/>
      <c r="J53" s="83"/>
      <c r="K53" s="78"/>
      <c r="L53" s="79"/>
      <c r="M53" s="79"/>
      <c r="N53" s="80"/>
      <c r="O53" s="81"/>
      <c r="P53" s="82"/>
      <c r="Q53" s="83"/>
      <c r="R53" s="78"/>
      <c r="S53" s="79"/>
      <c r="T53" s="79"/>
      <c r="U53" s="80"/>
      <c r="V53" s="81"/>
      <c r="W53" s="82"/>
      <c r="X53" s="83"/>
      <c r="Y53" s="78"/>
      <c r="Z53" s="79"/>
      <c r="AA53" s="79"/>
      <c r="AB53" s="80"/>
      <c r="AC53" s="81"/>
      <c r="AD53" s="82"/>
      <c r="AE53" s="83"/>
      <c r="AF53" s="78"/>
      <c r="AG53" s="79"/>
      <c r="AH53" s="79"/>
      <c r="AI53" s="80"/>
      <c r="AJ53" s="81"/>
      <c r="AK53" s="82"/>
      <c r="AL53" s="83"/>
      <c r="AM53" s="78"/>
      <c r="AN53" s="79"/>
      <c r="AO53" s="79"/>
      <c r="AP53" s="80"/>
      <c r="AQ53" s="81"/>
      <c r="AR53" s="82"/>
      <c r="AS53" s="83"/>
      <c r="AT53" s="78"/>
      <c r="AU53" s="79"/>
      <c r="AV53" s="79"/>
      <c r="AW53" s="80"/>
      <c r="AX53" s="81"/>
      <c r="AY53" s="82"/>
      <c r="AZ53" s="83"/>
      <c r="BA53" s="78"/>
      <c r="BB53" s="79"/>
      <c r="BC53" s="79"/>
      <c r="BD53" s="80"/>
      <c r="BE53" s="81"/>
      <c r="BF53" s="82"/>
      <c r="BG53" s="83"/>
      <c r="BH53" s="78"/>
      <c r="BI53" s="79"/>
      <c r="BJ53" s="79"/>
      <c r="BK53" s="80"/>
      <c r="BL53" s="81"/>
      <c r="BM53" s="82"/>
      <c r="BN53" s="83"/>
      <c r="BO53" s="78"/>
      <c r="BP53" s="79"/>
      <c r="BQ53" s="79"/>
      <c r="BR53" s="80"/>
      <c r="BS53" s="81"/>
      <c r="BT53" s="82"/>
      <c r="BU53" s="83"/>
      <c r="BV53" s="78"/>
      <c r="BW53" s="79"/>
      <c r="BX53" s="79"/>
      <c r="BY53" s="80"/>
      <c r="BZ53" s="81"/>
      <c r="CA53" s="82"/>
      <c r="CB53" s="83"/>
      <c r="CC53" s="78"/>
      <c r="CD53" s="79"/>
      <c r="CE53" s="79"/>
      <c r="CF53" s="80"/>
      <c r="CG53" s="81"/>
      <c r="CH53" s="82"/>
      <c r="CI53" s="83"/>
      <c r="CJ53" s="78"/>
      <c r="CK53" s="79"/>
      <c r="CL53" s="79"/>
      <c r="CM53" s="80"/>
      <c r="CN53" s="81"/>
      <c r="CO53" s="82"/>
      <c r="CP53" s="83"/>
      <c r="CQ53" s="78"/>
      <c r="CR53" s="79"/>
      <c r="CS53" s="79"/>
      <c r="CT53" s="80"/>
      <c r="CU53" s="81"/>
      <c r="CV53" s="82"/>
      <c r="CW53" s="83"/>
      <c r="CX53" s="78"/>
      <c r="CY53" s="79"/>
      <c r="CZ53" s="79"/>
      <c r="DA53" s="80"/>
      <c r="DB53" s="81"/>
      <c r="DC53" s="82"/>
      <c r="DD53" s="83"/>
      <c r="DE53" s="78"/>
      <c r="DF53" s="79"/>
      <c r="DG53" s="79"/>
      <c r="DH53" s="80"/>
      <c r="DI53" s="81"/>
      <c r="DJ53" s="82"/>
      <c r="DK53" s="83"/>
      <c r="DL53" s="78"/>
      <c r="DM53" s="79"/>
      <c r="DN53" s="79"/>
      <c r="DO53" s="80"/>
      <c r="DP53" s="81"/>
      <c r="DQ53" s="82"/>
      <c r="DR53" s="83"/>
      <c r="DS53" s="78"/>
      <c r="DT53" s="79"/>
      <c r="DU53" s="79"/>
      <c r="DV53" s="80"/>
      <c r="DW53" s="81"/>
      <c r="DX53" s="82"/>
      <c r="DY53" s="83"/>
      <c r="DZ53" s="78"/>
      <c r="EA53" s="79"/>
      <c r="EB53" s="79"/>
      <c r="EC53" s="80"/>
      <c r="ED53" s="81"/>
      <c r="EE53" s="82"/>
      <c r="EF53" s="83"/>
      <c r="EG53" s="78"/>
      <c r="EH53" s="79"/>
      <c r="EI53" s="79"/>
      <c r="EJ53" s="80"/>
      <c r="EK53" s="81"/>
      <c r="EL53" s="82"/>
      <c r="EM53" s="83"/>
      <c r="EN53" s="78"/>
      <c r="EO53" s="79"/>
      <c r="EP53" s="79"/>
      <c r="EQ53" s="80"/>
      <c r="ER53" s="81"/>
      <c r="ES53" s="82"/>
      <c r="ET53" s="83"/>
      <c r="EU53" s="78"/>
      <c r="EV53" s="79"/>
      <c r="EW53" s="79"/>
      <c r="EX53" s="80"/>
      <c r="EY53" s="81"/>
      <c r="EZ53" s="82"/>
      <c r="FA53" s="83"/>
      <c r="FB53" s="78"/>
      <c r="FC53" s="79"/>
      <c r="FD53" s="79"/>
      <c r="FE53" s="80"/>
      <c r="FF53" s="81"/>
      <c r="FG53" s="82"/>
      <c r="FH53" s="83"/>
      <c r="FI53" s="78"/>
      <c r="FJ53" s="79"/>
      <c r="FK53" s="79"/>
      <c r="FL53" s="80"/>
      <c r="FM53" s="81"/>
      <c r="FN53" s="82"/>
      <c r="FO53" s="83"/>
      <c r="FP53" s="78"/>
      <c r="FQ53" s="79"/>
      <c r="FR53" s="79"/>
      <c r="FS53" s="80"/>
      <c r="FT53" s="81"/>
      <c r="FU53" s="82"/>
      <c r="FV53" s="83"/>
      <c r="FW53" s="78"/>
      <c r="FX53" s="79"/>
      <c r="FY53" s="79"/>
      <c r="FZ53" s="80"/>
      <c r="GA53" s="81"/>
      <c r="GB53" s="82"/>
      <c r="GC53" s="83"/>
      <c r="GD53" s="78"/>
      <c r="GE53" s="79"/>
      <c r="GF53" s="79"/>
      <c r="GG53" s="80"/>
      <c r="GH53" s="81"/>
      <c r="GI53" s="82"/>
      <c r="GJ53" s="83"/>
      <c r="GK53" s="78"/>
      <c r="GL53" s="79"/>
      <c r="GM53" s="79"/>
      <c r="GN53" s="80"/>
      <c r="GO53" s="81"/>
      <c r="GP53" s="82"/>
      <c r="GQ53" s="83"/>
      <c r="GR53" s="78"/>
      <c r="GS53" s="79"/>
      <c r="GT53" s="79"/>
      <c r="GU53" s="80"/>
      <c r="GV53" s="81"/>
      <c r="GW53" s="82"/>
      <c r="GX53" s="83"/>
      <c r="GY53" s="78"/>
      <c r="GZ53" s="79"/>
      <c r="HA53" s="79"/>
      <c r="HB53" s="80"/>
      <c r="HC53" s="81"/>
      <c r="HD53" s="82"/>
      <c r="HE53" s="83"/>
      <c r="HF53" s="78"/>
      <c r="HG53" s="79"/>
      <c r="HH53" s="79"/>
      <c r="HI53" s="80"/>
      <c r="HJ53" s="81"/>
      <c r="HK53" s="82"/>
      <c r="HL53" s="83"/>
      <c r="HM53" s="78"/>
      <c r="HN53" s="79"/>
      <c r="HO53" s="79"/>
      <c r="HP53" s="80"/>
      <c r="HQ53" s="81"/>
      <c r="HR53" s="82"/>
      <c r="HS53" s="83"/>
      <c r="HT53" s="78"/>
      <c r="HU53" s="79"/>
      <c r="HV53" s="79"/>
      <c r="HW53" s="80"/>
      <c r="HX53" s="81"/>
      <c r="HY53" s="82"/>
      <c r="HZ53" s="83"/>
      <c r="IA53" s="78"/>
      <c r="IB53" s="79"/>
      <c r="IC53" s="79"/>
      <c r="ID53" s="80"/>
      <c r="IE53" s="81"/>
      <c r="IF53" s="82"/>
      <c r="IG53" s="83"/>
      <c r="IH53" s="78"/>
      <c r="II53" s="79"/>
      <c r="IJ53" s="79"/>
      <c r="IK53" s="80"/>
      <c r="IL53" s="81"/>
      <c r="IM53" s="82"/>
      <c r="IN53" s="83"/>
      <c r="IO53" s="78"/>
      <c r="IP53" s="79"/>
      <c r="IQ53" s="79"/>
      <c r="IR53" s="80"/>
      <c r="IS53" s="81"/>
      <c r="IT53" s="82"/>
      <c r="IU53" s="83"/>
      <c r="IV53" s="78"/>
      <c r="IW53" s="79"/>
      <c r="IX53" s="79"/>
      <c r="IY53" s="80"/>
      <c r="IZ53" s="81"/>
      <c r="JA53" s="82"/>
      <c r="JB53" s="83"/>
      <c r="JC53" s="78"/>
      <c r="JD53" s="79"/>
      <c r="JE53" s="79"/>
      <c r="JF53" s="80"/>
      <c r="JG53" s="81"/>
      <c r="JH53" s="82"/>
      <c r="JI53" s="83"/>
      <c r="JJ53" s="78"/>
      <c r="JK53" s="79"/>
      <c r="JL53" s="79"/>
      <c r="JM53" s="80"/>
      <c r="JN53" s="81"/>
      <c r="JO53" s="82"/>
      <c r="JP53" s="83"/>
      <c r="JQ53" s="78"/>
      <c r="JR53" s="79"/>
      <c r="JS53" s="79"/>
      <c r="JT53" s="80"/>
      <c r="JU53" s="81"/>
      <c r="JV53" s="82"/>
      <c r="JW53" s="83"/>
      <c r="JX53" s="78"/>
      <c r="JY53" s="79"/>
      <c r="JZ53" s="79"/>
      <c r="KA53" s="80"/>
      <c r="KB53" s="81"/>
      <c r="KC53" s="82"/>
      <c r="KD53" s="83"/>
      <c r="KE53" s="78"/>
      <c r="KF53" s="79"/>
      <c r="KG53" s="79"/>
      <c r="KH53" s="80"/>
      <c r="KI53" s="81"/>
      <c r="KJ53" s="82"/>
      <c r="KK53" s="83"/>
      <c r="KL53" s="78"/>
      <c r="KM53" s="79"/>
      <c r="KN53" s="79"/>
      <c r="KO53" s="80"/>
      <c r="KP53" s="81"/>
      <c r="KQ53" s="82"/>
      <c r="KR53" s="83"/>
      <c r="KS53" s="78"/>
      <c r="KT53" s="79"/>
      <c r="KU53" s="79"/>
      <c r="KV53" s="80"/>
      <c r="KW53" s="81"/>
      <c r="KX53" s="82"/>
      <c r="KY53" s="83"/>
      <c r="KZ53" s="78"/>
      <c r="LA53" s="79"/>
      <c r="LB53" s="79"/>
      <c r="LC53" s="80"/>
      <c r="LD53" s="81"/>
      <c r="LE53" s="82"/>
      <c r="LF53" s="83"/>
      <c r="LG53" s="78"/>
      <c r="LH53" s="79"/>
      <c r="LI53" s="79"/>
      <c r="LJ53" s="80"/>
      <c r="LK53" s="81"/>
      <c r="LL53" s="82"/>
      <c r="LM53" s="83"/>
      <c r="LN53" s="78"/>
      <c r="LO53" s="79"/>
      <c r="LP53" s="79"/>
      <c r="LQ53" s="80"/>
      <c r="LR53" s="81"/>
      <c r="LS53" s="82"/>
      <c r="LT53" s="83"/>
      <c r="LU53" s="78"/>
      <c r="LV53" s="79"/>
      <c r="LW53" s="79"/>
      <c r="LX53" s="80"/>
      <c r="LY53" s="81"/>
      <c r="LZ53" s="82"/>
      <c r="MA53" s="83"/>
      <c r="MB53" s="78"/>
      <c r="MC53" s="79"/>
      <c r="MD53" s="79"/>
      <c r="ME53" s="80"/>
      <c r="MF53" s="81"/>
      <c r="MG53" s="82"/>
      <c r="MH53" s="83"/>
      <c r="MI53" s="78"/>
      <c r="MJ53" s="79"/>
      <c r="MK53" s="79"/>
      <c r="ML53" s="80"/>
      <c r="MM53" s="81"/>
      <c r="MN53" s="82"/>
      <c r="MO53" s="83"/>
      <c r="MP53" s="78"/>
      <c r="MQ53" s="79"/>
      <c r="MR53" s="79"/>
      <c r="MS53" s="80"/>
      <c r="MT53" s="81"/>
      <c r="MU53" s="82"/>
      <c r="MV53" s="83"/>
      <c r="MW53" s="78"/>
      <c r="MX53" s="79"/>
      <c r="MY53" s="79"/>
      <c r="MZ53" s="80"/>
      <c r="NA53" s="81"/>
      <c r="NB53" s="82"/>
      <c r="NC53" s="83"/>
      <c r="ND53" s="78"/>
      <c r="NE53" s="79"/>
      <c r="NF53" s="79"/>
      <c r="NG53" s="80"/>
      <c r="NH53" s="81"/>
      <c r="NI53" s="82"/>
      <c r="NJ53" s="83"/>
      <c r="NK53" s="78"/>
      <c r="NL53" s="79"/>
      <c r="NM53" s="79"/>
      <c r="NN53" s="80"/>
      <c r="NO53" s="81"/>
      <c r="NP53" s="82"/>
      <c r="NQ53" s="83"/>
    </row>
    <row r="54" spans="1:381" ht="15" customHeight="1" x14ac:dyDescent="0.15">
      <c r="A54" s="65">
        <v>49</v>
      </c>
      <c r="B54" s="76"/>
      <c r="C54" s="77">
        <v>0.95833333333333903</v>
      </c>
      <c r="D54" s="78"/>
      <c r="E54" s="79"/>
      <c r="F54" s="79"/>
      <c r="G54" s="80"/>
      <c r="H54" s="81"/>
      <c r="I54" s="82"/>
      <c r="J54" s="83"/>
      <c r="K54" s="78"/>
      <c r="L54" s="79"/>
      <c r="M54" s="79"/>
      <c r="N54" s="80"/>
      <c r="O54" s="81"/>
      <c r="P54" s="82"/>
      <c r="Q54" s="83"/>
      <c r="R54" s="78"/>
      <c r="S54" s="79"/>
      <c r="T54" s="79"/>
      <c r="U54" s="80"/>
      <c r="V54" s="81"/>
      <c r="W54" s="82"/>
      <c r="X54" s="83"/>
      <c r="Y54" s="78"/>
      <c r="Z54" s="79"/>
      <c r="AA54" s="79"/>
      <c r="AB54" s="80"/>
      <c r="AC54" s="81"/>
      <c r="AD54" s="82"/>
      <c r="AE54" s="83"/>
      <c r="AF54" s="78"/>
      <c r="AG54" s="79"/>
      <c r="AH54" s="79"/>
      <c r="AI54" s="80"/>
      <c r="AJ54" s="81"/>
      <c r="AK54" s="82"/>
      <c r="AL54" s="83"/>
      <c r="AM54" s="78"/>
      <c r="AN54" s="79"/>
      <c r="AO54" s="79"/>
      <c r="AP54" s="80"/>
      <c r="AQ54" s="81"/>
      <c r="AR54" s="82"/>
      <c r="AS54" s="83"/>
      <c r="AT54" s="78"/>
      <c r="AU54" s="79"/>
      <c r="AV54" s="79"/>
      <c r="AW54" s="80"/>
      <c r="AX54" s="81"/>
      <c r="AY54" s="82"/>
      <c r="AZ54" s="83"/>
      <c r="BA54" s="78"/>
      <c r="BB54" s="79"/>
      <c r="BC54" s="79"/>
      <c r="BD54" s="80"/>
      <c r="BE54" s="81"/>
      <c r="BF54" s="82"/>
      <c r="BG54" s="83"/>
      <c r="BH54" s="78"/>
      <c r="BI54" s="79"/>
      <c r="BJ54" s="79"/>
      <c r="BK54" s="80"/>
      <c r="BL54" s="81"/>
      <c r="BM54" s="82"/>
      <c r="BN54" s="83"/>
      <c r="BO54" s="78"/>
      <c r="BP54" s="79"/>
      <c r="BQ54" s="79"/>
      <c r="BR54" s="80"/>
      <c r="BS54" s="81"/>
      <c r="BT54" s="82"/>
      <c r="BU54" s="83"/>
      <c r="BV54" s="78"/>
      <c r="BW54" s="79"/>
      <c r="BX54" s="79"/>
      <c r="BY54" s="80"/>
      <c r="BZ54" s="81"/>
      <c r="CA54" s="82"/>
      <c r="CB54" s="83"/>
      <c r="CC54" s="78"/>
      <c r="CD54" s="79"/>
      <c r="CE54" s="79"/>
      <c r="CF54" s="80"/>
      <c r="CG54" s="81"/>
      <c r="CH54" s="82"/>
      <c r="CI54" s="83"/>
      <c r="CJ54" s="78"/>
      <c r="CK54" s="79"/>
      <c r="CL54" s="79"/>
      <c r="CM54" s="80"/>
      <c r="CN54" s="81"/>
      <c r="CO54" s="82"/>
      <c r="CP54" s="83"/>
      <c r="CQ54" s="78"/>
      <c r="CR54" s="79"/>
      <c r="CS54" s="79"/>
      <c r="CT54" s="80"/>
      <c r="CU54" s="81"/>
      <c r="CV54" s="82"/>
      <c r="CW54" s="83"/>
      <c r="CX54" s="78"/>
      <c r="CY54" s="79"/>
      <c r="CZ54" s="79"/>
      <c r="DA54" s="80"/>
      <c r="DB54" s="81"/>
      <c r="DC54" s="82"/>
      <c r="DD54" s="83"/>
      <c r="DE54" s="78"/>
      <c r="DF54" s="79"/>
      <c r="DG54" s="79"/>
      <c r="DH54" s="80"/>
      <c r="DI54" s="81"/>
      <c r="DJ54" s="82"/>
      <c r="DK54" s="83"/>
      <c r="DL54" s="78"/>
      <c r="DM54" s="79"/>
      <c r="DN54" s="79"/>
      <c r="DO54" s="80"/>
      <c r="DP54" s="81"/>
      <c r="DQ54" s="82"/>
      <c r="DR54" s="83"/>
      <c r="DS54" s="78"/>
      <c r="DT54" s="79"/>
      <c r="DU54" s="79"/>
      <c r="DV54" s="80"/>
      <c r="DW54" s="81"/>
      <c r="DX54" s="82"/>
      <c r="DY54" s="83"/>
      <c r="DZ54" s="78"/>
      <c r="EA54" s="79"/>
      <c r="EB54" s="79"/>
      <c r="EC54" s="80"/>
      <c r="ED54" s="81"/>
      <c r="EE54" s="82"/>
      <c r="EF54" s="83"/>
      <c r="EG54" s="78"/>
      <c r="EH54" s="79"/>
      <c r="EI54" s="79"/>
      <c r="EJ54" s="80"/>
      <c r="EK54" s="81"/>
      <c r="EL54" s="82"/>
      <c r="EM54" s="83"/>
      <c r="EN54" s="78"/>
      <c r="EO54" s="79"/>
      <c r="EP54" s="79"/>
      <c r="EQ54" s="80"/>
      <c r="ER54" s="81"/>
      <c r="ES54" s="82"/>
      <c r="ET54" s="83"/>
      <c r="EU54" s="78"/>
      <c r="EV54" s="79"/>
      <c r="EW54" s="79"/>
      <c r="EX54" s="80"/>
      <c r="EY54" s="81"/>
      <c r="EZ54" s="82"/>
      <c r="FA54" s="83"/>
      <c r="FB54" s="78"/>
      <c r="FC54" s="79"/>
      <c r="FD54" s="79"/>
      <c r="FE54" s="80"/>
      <c r="FF54" s="81"/>
      <c r="FG54" s="82"/>
      <c r="FH54" s="83"/>
      <c r="FI54" s="78"/>
      <c r="FJ54" s="79"/>
      <c r="FK54" s="79"/>
      <c r="FL54" s="80"/>
      <c r="FM54" s="81"/>
      <c r="FN54" s="82"/>
      <c r="FO54" s="83"/>
      <c r="FP54" s="78"/>
      <c r="FQ54" s="79"/>
      <c r="FR54" s="79"/>
      <c r="FS54" s="80"/>
      <c r="FT54" s="81"/>
      <c r="FU54" s="82"/>
      <c r="FV54" s="83"/>
      <c r="FW54" s="78"/>
      <c r="FX54" s="79"/>
      <c r="FY54" s="79"/>
      <c r="FZ54" s="80"/>
      <c r="GA54" s="81"/>
      <c r="GB54" s="82"/>
      <c r="GC54" s="83"/>
      <c r="GD54" s="78"/>
      <c r="GE54" s="79"/>
      <c r="GF54" s="79"/>
      <c r="GG54" s="80"/>
      <c r="GH54" s="81"/>
      <c r="GI54" s="82"/>
      <c r="GJ54" s="83"/>
      <c r="GK54" s="78"/>
      <c r="GL54" s="79"/>
      <c r="GM54" s="79"/>
      <c r="GN54" s="80"/>
      <c r="GO54" s="81"/>
      <c r="GP54" s="82"/>
      <c r="GQ54" s="83"/>
      <c r="GR54" s="78"/>
      <c r="GS54" s="79"/>
      <c r="GT54" s="79"/>
      <c r="GU54" s="80"/>
      <c r="GV54" s="81"/>
      <c r="GW54" s="82"/>
      <c r="GX54" s="83"/>
      <c r="GY54" s="78"/>
      <c r="GZ54" s="79"/>
      <c r="HA54" s="79"/>
      <c r="HB54" s="80"/>
      <c r="HC54" s="81"/>
      <c r="HD54" s="82"/>
      <c r="HE54" s="83"/>
      <c r="HF54" s="78"/>
      <c r="HG54" s="79"/>
      <c r="HH54" s="79"/>
      <c r="HI54" s="80"/>
      <c r="HJ54" s="81"/>
      <c r="HK54" s="82"/>
      <c r="HL54" s="83"/>
      <c r="HM54" s="78"/>
      <c r="HN54" s="79"/>
      <c r="HO54" s="79"/>
      <c r="HP54" s="80"/>
      <c r="HQ54" s="81"/>
      <c r="HR54" s="82"/>
      <c r="HS54" s="83"/>
      <c r="HT54" s="78"/>
      <c r="HU54" s="79"/>
      <c r="HV54" s="79"/>
      <c r="HW54" s="80"/>
      <c r="HX54" s="81"/>
      <c r="HY54" s="82"/>
      <c r="HZ54" s="83"/>
      <c r="IA54" s="78"/>
      <c r="IB54" s="79"/>
      <c r="IC54" s="79"/>
      <c r="ID54" s="80"/>
      <c r="IE54" s="81"/>
      <c r="IF54" s="82"/>
      <c r="IG54" s="83"/>
      <c r="IH54" s="78"/>
      <c r="II54" s="79"/>
      <c r="IJ54" s="79"/>
      <c r="IK54" s="80"/>
      <c r="IL54" s="81"/>
      <c r="IM54" s="82"/>
      <c r="IN54" s="83"/>
      <c r="IO54" s="78"/>
      <c r="IP54" s="79"/>
      <c r="IQ54" s="79"/>
      <c r="IR54" s="80"/>
      <c r="IS54" s="81"/>
      <c r="IT54" s="82"/>
      <c r="IU54" s="83"/>
      <c r="IV54" s="78"/>
      <c r="IW54" s="79"/>
      <c r="IX54" s="79"/>
      <c r="IY54" s="80"/>
      <c r="IZ54" s="81"/>
      <c r="JA54" s="82"/>
      <c r="JB54" s="83"/>
      <c r="JC54" s="78"/>
      <c r="JD54" s="79"/>
      <c r="JE54" s="79"/>
      <c r="JF54" s="80"/>
      <c r="JG54" s="81"/>
      <c r="JH54" s="82"/>
      <c r="JI54" s="83"/>
      <c r="JJ54" s="78"/>
      <c r="JK54" s="79"/>
      <c r="JL54" s="79"/>
      <c r="JM54" s="80"/>
      <c r="JN54" s="81"/>
      <c r="JO54" s="82"/>
      <c r="JP54" s="83"/>
      <c r="JQ54" s="78"/>
      <c r="JR54" s="79"/>
      <c r="JS54" s="79"/>
      <c r="JT54" s="80"/>
      <c r="JU54" s="81"/>
      <c r="JV54" s="82"/>
      <c r="JW54" s="83"/>
      <c r="JX54" s="78"/>
      <c r="JY54" s="79"/>
      <c r="JZ54" s="79"/>
      <c r="KA54" s="80"/>
      <c r="KB54" s="81"/>
      <c r="KC54" s="82"/>
      <c r="KD54" s="83"/>
      <c r="KE54" s="78"/>
      <c r="KF54" s="79"/>
      <c r="KG54" s="79"/>
      <c r="KH54" s="80"/>
      <c r="KI54" s="81"/>
      <c r="KJ54" s="82"/>
      <c r="KK54" s="83"/>
      <c r="KL54" s="78"/>
      <c r="KM54" s="79"/>
      <c r="KN54" s="79"/>
      <c r="KO54" s="80"/>
      <c r="KP54" s="81"/>
      <c r="KQ54" s="82"/>
      <c r="KR54" s="83"/>
      <c r="KS54" s="78"/>
      <c r="KT54" s="79"/>
      <c r="KU54" s="79"/>
      <c r="KV54" s="80"/>
      <c r="KW54" s="81"/>
      <c r="KX54" s="82"/>
      <c r="KY54" s="83"/>
      <c r="KZ54" s="78"/>
      <c r="LA54" s="79"/>
      <c r="LB54" s="79"/>
      <c r="LC54" s="80"/>
      <c r="LD54" s="81"/>
      <c r="LE54" s="82"/>
      <c r="LF54" s="83"/>
      <c r="LG54" s="78"/>
      <c r="LH54" s="79"/>
      <c r="LI54" s="79"/>
      <c r="LJ54" s="80"/>
      <c r="LK54" s="81"/>
      <c r="LL54" s="82"/>
      <c r="LM54" s="83"/>
      <c r="LN54" s="78"/>
      <c r="LO54" s="79"/>
      <c r="LP54" s="79"/>
      <c r="LQ54" s="80"/>
      <c r="LR54" s="81"/>
      <c r="LS54" s="82"/>
      <c r="LT54" s="83"/>
      <c r="LU54" s="78"/>
      <c r="LV54" s="79"/>
      <c r="LW54" s="79"/>
      <c r="LX54" s="80"/>
      <c r="LY54" s="81"/>
      <c r="LZ54" s="82"/>
      <c r="MA54" s="83"/>
      <c r="MB54" s="78"/>
      <c r="MC54" s="79"/>
      <c r="MD54" s="79"/>
      <c r="ME54" s="80"/>
      <c r="MF54" s="81"/>
      <c r="MG54" s="82"/>
      <c r="MH54" s="83"/>
      <c r="MI54" s="78"/>
      <c r="MJ54" s="79"/>
      <c r="MK54" s="79"/>
      <c r="ML54" s="80"/>
      <c r="MM54" s="81"/>
      <c r="MN54" s="82"/>
      <c r="MO54" s="83"/>
      <c r="MP54" s="78"/>
      <c r="MQ54" s="79"/>
      <c r="MR54" s="79"/>
      <c r="MS54" s="80"/>
      <c r="MT54" s="81"/>
      <c r="MU54" s="82"/>
      <c r="MV54" s="83"/>
      <c r="MW54" s="78"/>
      <c r="MX54" s="79"/>
      <c r="MY54" s="79"/>
      <c r="MZ54" s="80"/>
      <c r="NA54" s="81"/>
      <c r="NB54" s="82"/>
      <c r="NC54" s="83"/>
      <c r="ND54" s="78"/>
      <c r="NE54" s="79"/>
      <c r="NF54" s="79"/>
      <c r="NG54" s="80"/>
      <c r="NH54" s="81"/>
      <c r="NI54" s="82"/>
      <c r="NJ54" s="83"/>
      <c r="NK54" s="78"/>
      <c r="NL54" s="79"/>
      <c r="NM54" s="79"/>
      <c r="NN54" s="80"/>
      <c r="NO54" s="81"/>
      <c r="NP54" s="82"/>
      <c r="NQ54" s="83"/>
    </row>
    <row r="55" spans="1:381" ht="15" customHeight="1" thickBot="1" x14ac:dyDescent="0.2">
      <c r="A55" s="84">
        <v>50</v>
      </c>
      <c r="B55" s="85"/>
      <c r="C55" s="86"/>
      <c r="D55" s="87"/>
      <c r="E55" s="88"/>
      <c r="F55" s="88"/>
      <c r="G55" s="89"/>
      <c r="H55" s="90"/>
      <c r="I55" s="91"/>
      <c r="J55" s="92"/>
      <c r="K55" s="87"/>
      <c r="L55" s="88"/>
      <c r="M55" s="88"/>
      <c r="N55" s="89"/>
      <c r="O55" s="90"/>
      <c r="P55" s="91"/>
      <c r="Q55" s="92"/>
      <c r="R55" s="87"/>
      <c r="S55" s="88"/>
      <c r="T55" s="88"/>
      <c r="U55" s="89"/>
      <c r="V55" s="90"/>
      <c r="W55" s="91"/>
      <c r="X55" s="92"/>
      <c r="Y55" s="87"/>
      <c r="Z55" s="88"/>
      <c r="AA55" s="88"/>
      <c r="AB55" s="89"/>
      <c r="AC55" s="90"/>
      <c r="AD55" s="91"/>
      <c r="AE55" s="92"/>
      <c r="AF55" s="87"/>
      <c r="AG55" s="88"/>
      <c r="AH55" s="88"/>
      <c r="AI55" s="89"/>
      <c r="AJ55" s="90"/>
      <c r="AK55" s="91"/>
      <c r="AL55" s="92"/>
      <c r="AM55" s="87"/>
      <c r="AN55" s="88"/>
      <c r="AO55" s="88"/>
      <c r="AP55" s="89"/>
      <c r="AQ55" s="90"/>
      <c r="AR55" s="91"/>
      <c r="AS55" s="92"/>
      <c r="AT55" s="87"/>
      <c r="AU55" s="88"/>
      <c r="AV55" s="88"/>
      <c r="AW55" s="89"/>
      <c r="AX55" s="90"/>
      <c r="AY55" s="91"/>
      <c r="AZ55" s="92"/>
      <c r="BA55" s="87"/>
      <c r="BB55" s="88"/>
      <c r="BC55" s="88"/>
      <c r="BD55" s="89"/>
      <c r="BE55" s="90"/>
      <c r="BF55" s="91"/>
      <c r="BG55" s="92"/>
      <c r="BH55" s="87"/>
      <c r="BI55" s="88"/>
      <c r="BJ55" s="88"/>
      <c r="BK55" s="89"/>
      <c r="BL55" s="90"/>
      <c r="BM55" s="91"/>
      <c r="BN55" s="92"/>
      <c r="BO55" s="87"/>
      <c r="BP55" s="88"/>
      <c r="BQ55" s="88"/>
      <c r="BR55" s="89"/>
      <c r="BS55" s="90"/>
      <c r="BT55" s="91"/>
      <c r="BU55" s="92"/>
      <c r="BV55" s="87"/>
      <c r="BW55" s="88"/>
      <c r="BX55" s="88"/>
      <c r="BY55" s="89"/>
      <c r="BZ55" s="90"/>
      <c r="CA55" s="91"/>
      <c r="CB55" s="92"/>
      <c r="CC55" s="87"/>
      <c r="CD55" s="88"/>
      <c r="CE55" s="88"/>
      <c r="CF55" s="89"/>
      <c r="CG55" s="90"/>
      <c r="CH55" s="91"/>
      <c r="CI55" s="92"/>
      <c r="CJ55" s="87"/>
      <c r="CK55" s="88"/>
      <c r="CL55" s="88"/>
      <c r="CM55" s="89"/>
      <c r="CN55" s="90"/>
      <c r="CO55" s="91"/>
      <c r="CP55" s="92"/>
      <c r="CQ55" s="87"/>
      <c r="CR55" s="88"/>
      <c r="CS55" s="88"/>
      <c r="CT55" s="89"/>
      <c r="CU55" s="90"/>
      <c r="CV55" s="91"/>
      <c r="CW55" s="92"/>
      <c r="CX55" s="87"/>
      <c r="CY55" s="88"/>
      <c r="CZ55" s="88"/>
      <c r="DA55" s="89"/>
      <c r="DB55" s="90"/>
      <c r="DC55" s="91"/>
      <c r="DD55" s="92"/>
      <c r="DE55" s="87"/>
      <c r="DF55" s="88"/>
      <c r="DG55" s="88"/>
      <c r="DH55" s="89"/>
      <c r="DI55" s="90"/>
      <c r="DJ55" s="91"/>
      <c r="DK55" s="92"/>
      <c r="DL55" s="87"/>
      <c r="DM55" s="88"/>
      <c r="DN55" s="88"/>
      <c r="DO55" s="89"/>
      <c r="DP55" s="90"/>
      <c r="DQ55" s="91"/>
      <c r="DR55" s="92"/>
      <c r="DS55" s="87"/>
      <c r="DT55" s="88"/>
      <c r="DU55" s="88"/>
      <c r="DV55" s="89"/>
      <c r="DW55" s="90"/>
      <c r="DX55" s="91"/>
      <c r="DY55" s="92"/>
      <c r="DZ55" s="87"/>
      <c r="EA55" s="88"/>
      <c r="EB55" s="88"/>
      <c r="EC55" s="89"/>
      <c r="ED55" s="90"/>
      <c r="EE55" s="91"/>
      <c r="EF55" s="92"/>
      <c r="EG55" s="87"/>
      <c r="EH55" s="88"/>
      <c r="EI55" s="88"/>
      <c r="EJ55" s="89"/>
      <c r="EK55" s="90"/>
      <c r="EL55" s="91"/>
      <c r="EM55" s="92"/>
      <c r="EN55" s="87"/>
      <c r="EO55" s="88"/>
      <c r="EP55" s="88"/>
      <c r="EQ55" s="89"/>
      <c r="ER55" s="90"/>
      <c r="ES55" s="91"/>
      <c r="ET55" s="92"/>
      <c r="EU55" s="87"/>
      <c r="EV55" s="88"/>
      <c r="EW55" s="88"/>
      <c r="EX55" s="89"/>
      <c r="EY55" s="90"/>
      <c r="EZ55" s="91"/>
      <c r="FA55" s="92"/>
      <c r="FB55" s="87"/>
      <c r="FC55" s="88"/>
      <c r="FD55" s="88"/>
      <c r="FE55" s="89"/>
      <c r="FF55" s="90"/>
      <c r="FG55" s="91"/>
      <c r="FH55" s="92"/>
      <c r="FI55" s="87"/>
      <c r="FJ55" s="88"/>
      <c r="FK55" s="88"/>
      <c r="FL55" s="89"/>
      <c r="FM55" s="90"/>
      <c r="FN55" s="91"/>
      <c r="FO55" s="92"/>
      <c r="FP55" s="87"/>
      <c r="FQ55" s="88"/>
      <c r="FR55" s="88"/>
      <c r="FS55" s="89"/>
      <c r="FT55" s="90"/>
      <c r="FU55" s="91"/>
      <c r="FV55" s="92"/>
      <c r="FW55" s="87"/>
      <c r="FX55" s="88"/>
      <c r="FY55" s="88"/>
      <c r="FZ55" s="89"/>
      <c r="GA55" s="90"/>
      <c r="GB55" s="91"/>
      <c r="GC55" s="92"/>
      <c r="GD55" s="87"/>
      <c r="GE55" s="88"/>
      <c r="GF55" s="88"/>
      <c r="GG55" s="89"/>
      <c r="GH55" s="90"/>
      <c r="GI55" s="91"/>
      <c r="GJ55" s="92"/>
      <c r="GK55" s="87"/>
      <c r="GL55" s="88"/>
      <c r="GM55" s="88"/>
      <c r="GN55" s="89"/>
      <c r="GO55" s="90"/>
      <c r="GP55" s="91"/>
      <c r="GQ55" s="92"/>
      <c r="GR55" s="87"/>
      <c r="GS55" s="88"/>
      <c r="GT55" s="88"/>
      <c r="GU55" s="89"/>
      <c r="GV55" s="90"/>
      <c r="GW55" s="91"/>
      <c r="GX55" s="92"/>
      <c r="GY55" s="87"/>
      <c r="GZ55" s="88"/>
      <c r="HA55" s="88"/>
      <c r="HB55" s="89"/>
      <c r="HC55" s="90"/>
      <c r="HD55" s="91"/>
      <c r="HE55" s="92"/>
      <c r="HF55" s="87"/>
      <c r="HG55" s="88"/>
      <c r="HH55" s="88"/>
      <c r="HI55" s="89"/>
      <c r="HJ55" s="90"/>
      <c r="HK55" s="91"/>
      <c r="HL55" s="92"/>
      <c r="HM55" s="87"/>
      <c r="HN55" s="88"/>
      <c r="HO55" s="88"/>
      <c r="HP55" s="89"/>
      <c r="HQ55" s="90"/>
      <c r="HR55" s="91"/>
      <c r="HS55" s="92"/>
      <c r="HT55" s="87"/>
      <c r="HU55" s="88"/>
      <c r="HV55" s="88"/>
      <c r="HW55" s="89"/>
      <c r="HX55" s="90"/>
      <c r="HY55" s="91"/>
      <c r="HZ55" s="92"/>
      <c r="IA55" s="87"/>
      <c r="IB55" s="88"/>
      <c r="IC55" s="88"/>
      <c r="ID55" s="89"/>
      <c r="IE55" s="90"/>
      <c r="IF55" s="91"/>
      <c r="IG55" s="92"/>
      <c r="IH55" s="87"/>
      <c r="II55" s="88"/>
      <c r="IJ55" s="88"/>
      <c r="IK55" s="89"/>
      <c r="IL55" s="90"/>
      <c r="IM55" s="91"/>
      <c r="IN55" s="92"/>
      <c r="IO55" s="87"/>
      <c r="IP55" s="88"/>
      <c r="IQ55" s="88"/>
      <c r="IR55" s="89"/>
      <c r="IS55" s="90"/>
      <c r="IT55" s="91"/>
      <c r="IU55" s="92"/>
      <c r="IV55" s="87"/>
      <c r="IW55" s="88"/>
      <c r="IX55" s="88"/>
      <c r="IY55" s="89"/>
      <c r="IZ55" s="90"/>
      <c r="JA55" s="91"/>
      <c r="JB55" s="92"/>
      <c r="JC55" s="87"/>
      <c r="JD55" s="88"/>
      <c r="JE55" s="88"/>
      <c r="JF55" s="89"/>
      <c r="JG55" s="90"/>
      <c r="JH55" s="91"/>
      <c r="JI55" s="92"/>
      <c r="JJ55" s="87"/>
      <c r="JK55" s="88"/>
      <c r="JL55" s="88"/>
      <c r="JM55" s="89"/>
      <c r="JN55" s="90"/>
      <c r="JO55" s="91"/>
      <c r="JP55" s="92"/>
      <c r="JQ55" s="87"/>
      <c r="JR55" s="88"/>
      <c r="JS55" s="88"/>
      <c r="JT55" s="89"/>
      <c r="JU55" s="90"/>
      <c r="JV55" s="91"/>
      <c r="JW55" s="92"/>
      <c r="JX55" s="87"/>
      <c r="JY55" s="88"/>
      <c r="JZ55" s="88"/>
      <c r="KA55" s="89"/>
      <c r="KB55" s="90"/>
      <c r="KC55" s="91"/>
      <c r="KD55" s="92"/>
      <c r="KE55" s="87"/>
      <c r="KF55" s="88"/>
      <c r="KG55" s="88"/>
      <c r="KH55" s="89"/>
      <c r="KI55" s="90"/>
      <c r="KJ55" s="91"/>
      <c r="KK55" s="92"/>
      <c r="KL55" s="87"/>
      <c r="KM55" s="88"/>
      <c r="KN55" s="88"/>
      <c r="KO55" s="89"/>
      <c r="KP55" s="90"/>
      <c r="KQ55" s="91"/>
      <c r="KR55" s="92"/>
      <c r="KS55" s="87"/>
      <c r="KT55" s="88"/>
      <c r="KU55" s="88"/>
      <c r="KV55" s="89"/>
      <c r="KW55" s="90"/>
      <c r="KX55" s="91"/>
      <c r="KY55" s="92"/>
      <c r="KZ55" s="87"/>
      <c r="LA55" s="88"/>
      <c r="LB55" s="88"/>
      <c r="LC55" s="89"/>
      <c r="LD55" s="90"/>
      <c r="LE55" s="91"/>
      <c r="LF55" s="92"/>
      <c r="LG55" s="87"/>
      <c r="LH55" s="88"/>
      <c r="LI55" s="88"/>
      <c r="LJ55" s="89"/>
      <c r="LK55" s="90"/>
      <c r="LL55" s="91"/>
      <c r="LM55" s="92"/>
      <c r="LN55" s="87"/>
      <c r="LO55" s="88"/>
      <c r="LP55" s="88"/>
      <c r="LQ55" s="89"/>
      <c r="LR55" s="90"/>
      <c r="LS55" s="91"/>
      <c r="LT55" s="92"/>
      <c r="LU55" s="87"/>
      <c r="LV55" s="88"/>
      <c r="LW55" s="88"/>
      <c r="LX55" s="89"/>
      <c r="LY55" s="90"/>
      <c r="LZ55" s="91"/>
      <c r="MA55" s="92"/>
      <c r="MB55" s="87"/>
      <c r="MC55" s="88"/>
      <c r="MD55" s="88"/>
      <c r="ME55" s="89"/>
      <c r="MF55" s="90"/>
      <c r="MG55" s="91"/>
      <c r="MH55" s="92"/>
      <c r="MI55" s="87"/>
      <c r="MJ55" s="88"/>
      <c r="MK55" s="88"/>
      <c r="ML55" s="89"/>
      <c r="MM55" s="90"/>
      <c r="MN55" s="91"/>
      <c r="MO55" s="92"/>
      <c r="MP55" s="87"/>
      <c r="MQ55" s="88"/>
      <c r="MR55" s="88"/>
      <c r="MS55" s="89"/>
      <c r="MT55" s="90"/>
      <c r="MU55" s="91"/>
      <c r="MV55" s="92"/>
      <c r="MW55" s="87"/>
      <c r="MX55" s="88"/>
      <c r="MY55" s="88"/>
      <c r="MZ55" s="89"/>
      <c r="NA55" s="90"/>
      <c r="NB55" s="91"/>
      <c r="NC55" s="92"/>
      <c r="ND55" s="87"/>
      <c r="NE55" s="88"/>
      <c r="NF55" s="88"/>
      <c r="NG55" s="89"/>
      <c r="NH55" s="90"/>
      <c r="NI55" s="91"/>
      <c r="NJ55" s="92"/>
      <c r="NK55" s="87"/>
      <c r="NL55" s="88"/>
      <c r="NM55" s="88"/>
      <c r="NN55" s="89"/>
      <c r="NO55" s="90"/>
      <c r="NP55" s="91"/>
      <c r="NQ55" s="92"/>
    </row>
    <row r="56" spans="1:381" s="44" customFormat="1" ht="15" customHeight="1" x14ac:dyDescent="0.15">
      <c r="A56" s="93"/>
      <c r="B56" s="94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  <c r="IX56" s="95"/>
      <c r="IY56" s="95"/>
      <c r="IZ56" s="95"/>
      <c r="JA56" s="95"/>
      <c r="JB56" s="95"/>
      <c r="JC56" s="95"/>
      <c r="JD56" s="95"/>
      <c r="JE56" s="95"/>
      <c r="JF56" s="95"/>
      <c r="JG56" s="95"/>
      <c r="JH56" s="95"/>
      <c r="JI56" s="95"/>
      <c r="JJ56" s="95"/>
      <c r="JK56" s="95"/>
      <c r="JL56" s="95"/>
      <c r="JM56" s="95"/>
      <c r="JN56" s="95"/>
      <c r="JO56" s="95"/>
      <c r="JP56" s="95"/>
      <c r="JQ56" s="95"/>
      <c r="JR56" s="95"/>
      <c r="JS56" s="95"/>
      <c r="JT56" s="95"/>
      <c r="JU56" s="95"/>
      <c r="JV56" s="95"/>
      <c r="JW56" s="95"/>
      <c r="JX56" s="95"/>
      <c r="JY56" s="95"/>
      <c r="JZ56" s="95"/>
      <c r="KA56" s="95"/>
      <c r="KB56" s="95"/>
      <c r="KC56" s="95"/>
      <c r="KD56" s="95"/>
      <c r="KE56" s="95"/>
      <c r="KF56" s="95"/>
      <c r="KG56" s="95"/>
      <c r="KH56" s="95"/>
      <c r="KI56" s="95"/>
      <c r="KJ56" s="95"/>
      <c r="KK56" s="95"/>
      <c r="KL56" s="95"/>
      <c r="KM56" s="95"/>
      <c r="KN56" s="95"/>
      <c r="KO56" s="95"/>
      <c r="KP56" s="95"/>
      <c r="KQ56" s="95"/>
      <c r="KR56" s="95"/>
      <c r="KS56" s="95"/>
      <c r="KT56" s="95"/>
      <c r="KU56" s="95"/>
      <c r="KV56" s="95"/>
      <c r="KW56" s="95"/>
      <c r="KX56" s="95"/>
      <c r="KY56" s="95"/>
      <c r="KZ56" s="95"/>
      <c r="LA56" s="95"/>
      <c r="LB56" s="95"/>
      <c r="LC56" s="95"/>
      <c r="LD56" s="95"/>
      <c r="LE56" s="95"/>
      <c r="LF56" s="95"/>
      <c r="LG56" s="95"/>
      <c r="LH56" s="95"/>
      <c r="LI56" s="95"/>
      <c r="LJ56" s="95"/>
      <c r="LK56" s="95"/>
      <c r="LL56" s="95"/>
      <c r="LM56" s="95"/>
      <c r="LN56" s="95"/>
      <c r="LO56" s="95"/>
      <c r="LP56" s="95"/>
      <c r="LQ56" s="95"/>
      <c r="LR56" s="95"/>
      <c r="LS56" s="95"/>
      <c r="LT56" s="95"/>
      <c r="LU56" s="95"/>
      <c r="LV56" s="95"/>
      <c r="LW56" s="95"/>
      <c r="LX56" s="95"/>
      <c r="LY56" s="95"/>
      <c r="LZ56" s="95"/>
      <c r="MA56" s="95"/>
      <c r="MB56" s="95"/>
      <c r="MC56" s="95"/>
      <c r="MD56" s="95"/>
      <c r="ME56" s="95"/>
      <c r="MF56" s="95"/>
      <c r="MG56" s="95"/>
      <c r="MH56" s="95"/>
      <c r="MI56" s="95"/>
      <c r="MJ56" s="95"/>
      <c r="MK56" s="95"/>
      <c r="ML56" s="95"/>
      <c r="MM56" s="95"/>
      <c r="MN56" s="95"/>
      <c r="MO56" s="95"/>
      <c r="MP56" s="95"/>
      <c r="MQ56" s="95"/>
      <c r="MR56" s="95"/>
      <c r="MS56" s="95"/>
      <c r="MT56" s="95"/>
      <c r="MU56" s="95"/>
      <c r="MV56" s="95"/>
      <c r="MW56" s="95"/>
      <c r="MX56" s="95"/>
      <c r="MY56" s="95"/>
      <c r="MZ56" s="95"/>
      <c r="NA56" s="95"/>
      <c r="NB56" s="95"/>
      <c r="NC56" s="95"/>
      <c r="ND56" s="95"/>
      <c r="NE56" s="95"/>
      <c r="NF56" s="95"/>
      <c r="NG56" s="95"/>
      <c r="NH56" s="95"/>
      <c r="NI56" s="95"/>
      <c r="NJ56" s="95"/>
      <c r="NK56" s="95"/>
      <c r="NL56" s="95"/>
      <c r="NM56" s="95"/>
      <c r="NN56" s="95"/>
      <c r="NO56" s="95"/>
      <c r="NP56" s="95"/>
      <c r="NQ56" s="95"/>
    </row>
    <row r="57" spans="1:381" x14ac:dyDescent="0.2">
      <c r="A57" s="175" t="s">
        <v>127</v>
      </c>
      <c r="C57" s="43"/>
    </row>
    <row r="58" spans="1:381" x14ac:dyDescent="0.2">
      <c r="A58" s="44">
        <v>1</v>
      </c>
      <c r="B58" s="45" t="s">
        <v>113</v>
      </c>
      <c r="C58" s="43"/>
    </row>
    <row r="59" spans="1:381" x14ac:dyDescent="0.2">
      <c r="A59" s="43">
        <v>2</v>
      </c>
      <c r="B59" s="45" t="s">
        <v>114</v>
      </c>
      <c r="C59" s="43"/>
    </row>
    <row r="60" spans="1:381" x14ac:dyDescent="0.2">
      <c r="A60" s="43">
        <v>3</v>
      </c>
      <c r="B60" s="45" t="s">
        <v>115</v>
      </c>
      <c r="C60" s="43"/>
    </row>
    <row r="61" spans="1:381" x14ac:dyDescent="0.2">
      <c r="A61" s="43">
        <v>4</v>
      </c>
      <c r="B61" s="45" t="s">
        <v>116</v>
      </c>
      <c r="C61" s="43"/>
    </row>
    <row r="62" spans="1:381" x14ac:dyDescent="0.2">
      <c r="A62" s="43">
        <v>5</v>
      </c>
      <c r="B62" s="45" t="s">
        <v>117</v>
      </c>
      <c r="C62" s="43"/>
    </row>
    <row r="63" spans="1:381" x14ac:dyDescent="0.2">
      <c r="A63" s="43">
        <v>6</v>
      </c>
      <c r="B63" s="45" t="s">
        <v>118</v>
      </c>
      <c r="C63" s="43"/>
    </row>
    <row r="64" spans="1:381" x14ac:dyDescent="0.2">
      <c r="A64" s="43">
        <v>7</v>
      </c>
      <c r="B64" s="45" t="s">
        <v>119</v>
      </c>
      <c r="C64" s="43"/>
    </row>
    <row r="65" spans="1:3" x14ac:dyDescent="0.2">
      <c r="A65" s="43">
        <v>8</v>
      </c>
      <c r="B65" s="45" t="s">
        <v>120</v>
      </c>
      <c r="C65" s="43"/>
    </row>
    <row r="66" spans="1:3" x14ac:dyDescent="0.2">
      <c r="A66" s="175" t="s">
        <v>32</v>
      </c>
      <c r="B66" s="45"/>
      <c r="C66" s="43"/>
    </row>
    <row r="67" spans="1:3" ht="15" x14ac:dyDescent="0.2">
      <c r="A67" s="45" t="s">
        <v>36</v>
      </c>
      <c r="B67" s="45"/>
      <c r="C67" s="43"/>
    </row>
    <row r="68" spans="1:3" x14ac:dyDescent="0.2">
      <c r="A68" s="45" t="s">
        <v>58</v>
      </c>
      <c r="B68" s="45"/>
      <c r="C68" s="43"/>
    </row>
    <row r="69" spans="1:3" x14ac:dyDescent="0.2">
      <c r="C69" s="43"/>
    </row>
  </sheetData>
  <mergeCells count="2">
    <mergeCell ref="A5:B5"/>
    <mergeCell ref="C5:C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839CC-4CD8-FF41-ACD3-2FA6222AC35A}">
  <dimension ref="A1:AF45"/>
  <sheetViews>
    <sheetView zoomScaleNormal="100" workbookViewId="0">
      <selection activeCell="C8" sqref="A8:C8"/>
    </sheetView>
  </sheetViews>
  <sheetFormatPr baseColWidth="10" defaultRowHeight="14" x14ac:dyDescent="0.15"/>
  <cols>
    <col min="1" max="31" width="2.83203125" style="34" customWidth="1"/>
    <col min="32" max="16384" width="10.83203125" style="34"/>
  </cols>
  <sheetData>
    <row r="1" spans="1:32" ht="25" x14ac:dyDescent="0.25">
      <c r="A1" s="192" t="s">
        <v>106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</row>
    <row r="2" spans="1:32" x14ac:dyDescent="0.15">
      <c r="A2" s="204" t="s">
        <v>125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</row>
    <row r="3" spans="1:32" x14ac:dyDescent="0.15">
      <c r="A3" s="204" t="s">
        <v>126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172"/>
    </row>
    <row r="4" spans="1:32" x14ac:dyDescent="0.1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</row>
    <row r="6" spans="1:32" ht="18" x14ac:dyDescent="0.2">
      <c r="A6" s="169" t="s">
        <v>107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</row>
    <row r="8" spans="1:32" x14ac:dyDescent="0.15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</row>
    <row r="9" spans="1:32" x14ac:dyDescent="0.15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</row>
    <row r="10" spans="1:32" x14ac:dyDescent="0.15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</row>
    <row r="13" spans="1:32" ht="18" x14ac:dyDescent="0.2">
      <c r="A13" s="169" t="s">
        <v>107</v>
      </c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</row>
    <row r="15" spans="1:32" x14ac:dyDescent="0.15">
      <c r="A15" s="171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</row>
    <row r="16" spans="1:32" x14ac:dyDescent="0.15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</row>
    <row r="17" spans="1:31" x14ac:dyDescent="0.15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</row>
    <row r="20" spans="1:31" ht="18" x14ac:dyDescent="0.2">
      <c r="A20" s="169" t="s">
        <v>107</v>
      </c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</row>
    <row r="22" spans="1:31" x14ac:dyDescent="0.15">
      <c r="A22" s="171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</row>
    <row r="23" spans="1:31" x14ac:dyDescent="0.15">
      <c r="A23" s="171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</row>
    <row r="24" spans="1:31" x14ac:dyDescent="0.15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</row>
    <row r="27" spans="1:31" ht="18" x14ac:dyDescent="0.2">
      <c r="A27" s="169" t="s">
        <v>107</v>
      </c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</row>
    <row r="29" spans="1:31" x14ac:dyDescent="0.15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</row>
    <row r="30" spans="1:31" x14ac:dyDescent="0.15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</row>
    <row r="31" spans="1:31" x14ac:dyDescent="0.15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</row>
    <row r="34" spans="1:31" ht="18" x14ac:dyDescent="0.2">
      <c r="A34" s="169" t="s">
        <v>107</v>
      </c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</row>
    <row r="36" spans="1:31" x14ac:dyDescent="0.15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</row>
    <row r="37" spans="1:31" x14ac:dyDescent="0.15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</row>
    <row r="38" spans="1:31" x14ac:dyDescent="0.15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</row>
    <row r="41" spans="1:31" ht="18" x14ac:dyDescent="0.2">
      <c r="A41" s="169" t="s">
        <v>107</v>
      </c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</row>
    <row r="43" spans="1:31" x14ac:dyDescent="0.15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</row>
    <row r="44" spans="1:31" x14ac:dyDescent="0.15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</row>
    <row r="45" spans="1:31" x14ac:dyDescent="0.15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</row>
  </sheetData>
  <mergeCells count="3">
    <mergeCell ref="A1:AE1"/>
    <mergeCell ref="A2:AE2"/>
    <mergeCell ref="A3:AE3"/>
  </mergeCells>
  <conditionalFormatting sqref="A8:AE10 A15:AE17 A22:AE24 A29:AE31 A36:AE38 A43:AE45">
    <cfRule type="iconSet" priority="1">
      <iconSet iconSet="3Symbols2" showValue="0">
        <cfvo type="percent" val="0"/>
        <cfvo type="num" val="0"/>
        <cfvo type="num" val="1"/>
      </iconSet>
    </cfRule>
  </conditionalFormatting>
  <pageMargins left="0.39370078740157483" right="0.39370078740157483" top="0.78740157480314965" bottom="0.78740157480314965" header="0.31496062992125984" footer="0.31496062992125984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6142A-1E0A-3449-BDC2-A7BAFB29FFA8}">
  <dimension ref="A1:C16"/>
  <sheetViews>
    <sheetView workbookViewId="0">
      <selection activeCell="B2" sqref="B2"/>
    </sheetView>
  </sheetViews>
  <sheetFormatPr baseColWidth="10" defaultRowHeight="15" x14ac:dyDescent="0.2"/>
  <cols>
    <col min="1" max="1" width="30.83203125" style="20" customWidth="1"/>
    <col min="2" max="3" width="50.83203125" style="20" customWidth="1"/>
    <col min="4" max="16384" width="10.83203125" style="20"/>
  </cols>
  <sheetData>
    <row r="1" spans="1:3" ht="35" customHeight="1" thickBot="1" x14ac:dyDescent="0.25">
      <c r="A1" s="211" t="s">
        <v>1</v>
      </c>
      <c r="B1" s="212"/>
      <c r="C1" s="213"/>
    </row>
    <row r="2" spans="1:3" x14ac:dyDescent="0.2">
      <c r="A2" s="205" t="s">
        <v>7</v>
      </c>
      <c r="B2" s="7" t="s">
        <v>8</v>
      </c>
      <c r="C2" s="16" t="s">
        <v>15</v>
      </c>
    </row>
    <row r="3" spans="1:3" x14ac:dyDescent="0.2">
      <c r="A3" s="206"/>
      <c r="B3" s="3" t="s">
        <v>9</v>
      </c>
      <c r="C3" s="17" t="s">
        <v>16</v>
      </c>
    </row>
    <row r="4" spans="1:3" x14ac:dyDescent="0.2">
      <c r="A4" s="206"/>
      <c r="B4" s="3" t="s">
        <v>10</v>
      </c>
      <c r="C4" s="17" t="s">
        <v>17</v>
      </c>
    </row>
    <row r="5" spans="1:3" x14ac:dyDescent="0.2">
      <c r="A5" s="206"/>
      <c r="B5" s="3" t="s">
        <v>11</v>
      </c>
      <c r="C5" s="17" t="s">
        <v>18</v>
      </c>
    </row>
    <row r="6" spans="1:3" x14ac:dyDescent="0.2">
      <c r="A6" s="206"/>
      <c r="B6" s="3" t="s">
        <v>12</v>
      </c>
      <c r="C6" s="17" t="s">
        <v>19</v>
      </c>
    </row>
    <row r="7" spans="1:3" x14ac:dyDescent="0.2">
      <c r="A7" s="206"/>
      <c r="B7" s="5"/>
      <c r="C7" s="21"/>
    </row>
    <row r="8" spans="1:3" x14ac:dyDescent="0.2">
      <c r="A8" s="206"/>
      <c r="B8" s="6" t="s">
        <v>13</v>
      </c>
      <c r="C8" s="18" t="s">
        <v>13</v>
      </c>
    </row>
    <row r="9" spans="1:3" x14ac:dyDescent="0.2">
      <c r="A9" s="207"/>
      <c r="B9" s="4" t="s">
        <v>14</v>
      </c>
      <c r="C9" s="19" t="s">
        <v>20</v>
      </c>
    </row>
    <row r="10" spans="1:3" x14ac:dyDescent="0.2">
      <c r="A10" s="208" t="s">
        <v>21</v>
      </c>
      <c r="B10" s="9" t="s">
        <v>22</v>
      </c>
      <c r="C10" s="10" t="s">
        <v>26</v>
      </c>
    </row>
    <row r="11" spans="1:3" x14ac:dyDescent="0.2">
      <c r="A11" s="209"/>
      <c r="B11" s="3" t="s">
        <v>31</v>
      </c>
      <c r="C11" s="11" t="s">
        <v>27</v>
      </c>
    </row>
    <row r="12" spans="1:3" x14ac:dyDescent="0.2">
      <c r="A12" s="209"/>
      <c r="B12" s="3" t="s">
        <v>23</v>
      </c>
      <c r="C12" s="11" t="s">
        <v>28</v>
      </c>
    </row>
    <row r="13" spans="1:3" x14ac:dyDescent="0.2">
      <c r="A13" s="209"/>
      <c r="B13" s="14" t="s">
        <v>24</v>
      </c>
      <c r="C13" s="11" t="s">
        <v>29</v>
      </c>
    </row>
    <row r="14" spans="1:3" x14ac:dyDescent="0.2">
      <c r="A14" s="209"/>
      <c r="B14" s="15"/>
      <c r="C14" s="11"/>
    </row>
    <row r="15" spans="1:3" x14ac:dyDescent="0.2">
      <c r="A15" s="209"/>
      <c r="B15" s="6" t="s">
        <v>13</v>
      </c>
      <c r="C15" s="12" t="s">
        <v>13</v>
      </c>
    </row>
    <row r="16" spans="1:3" ht="16" thickBot="1" x14ac:dyDescent="0.25">
      <c r="A16" s="210"/>
      <c r="B16" s="8" t="s">
        <v>25</v>
      </c>
      <c r="C16" s="13" t="s">
        <v>30</v>
      </c>
    </row>
  </sheetData>
  <mergeCells count="3">
    <mergeCell ref="A2:A9"/>
    <mergeCell ref="A10:A16"/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90640-EE91-BE41-8438-FAB46724EBB0}">
  <dimension ref="B1:E98"/>
  <sheetViews>
    <sheetView workbookViewId="0">
      <selection activeCell="E12" sqref="E12"/>
    </sheetView>
  </sheetViews>
  <sheetFormatPr baseColWidth="10" defaultRowHeight="15" x14ac:dyDescent="0.2"/>
  <cols>
    <col min="1" max="2" width="3.1640625" style="20" customWidth="1"/>
    <col min="3" max="3" width="88.1640625" style="20" customWidth="1"/>
    <col min="4" max="16384" width="10.83203125" style="20"/>
  </cols>
  <sheetData>
    <row r="1" spans="2:3" ht="35" customHeight="1" thickBot="1" x14ac:dyDescent="0.25">
      <c r="B1" s="31"/>
      <c r="C1" s="32" t="s">
        <v>40</v>
      </c>
    </row>
    <row r="2" spans="2:3" x14ac:dyDescent="0.2">
      <c r="B2" s="27"/>
      <c r="C2" s="30" t="s">
        <v>75</v>
      </c>
    </row>
    <row r="3" spans="2:3" x14ac:dyDescent="0.2">
      <c r="B3" s="27"/>
      <c r="C3" s="24" t="s">
        <v>76</v>
      </c>
    </row>
    <row r="4" spans="2:3" ht="13" customHeight="1" x14ac:dyDescent="0.2">
      <c r="B4" s="27"/>
      <c r="C4" s="33"/>
    </row>
    <row r="5" spans="2:3" ht="13" customHeight="1" x14ac:dyDescent="0.2">
      <c r="B5" s="27"/>
      <c r="C5" s="33"/>
    </row>
    <row r="6" spans="2:3" ht="13" customHeight="1" x14ac:dyDescent="0.2">
      <c r="B6" s="27"/>
      <c r="C6" s="33"/>
    </row>
    <row r="7" spans="2:3" ht="13" customHeight="1" x14ac:dyDescent="0.2">
      <c r="B7" s="27"/>
      <c r="C7" s="33"/>
    </row>
    <row r="8" spans="2:3" ht="13" customHeight="1" x14ac:dyDescent="0.2">
      <c r="B8" s="27"/>
      <c r="C8" s="33"/>
    </row>
    <row r="9" spans="2:3" ht="13" customHeight="1" x14ac:dyDescent="0.2">
      <c r="B9" s="27"/>
      <c r="C9" s="33"/>
    </row>
    <row r="10" spans="2:3" ht="13" customHeight="1" x14ac:dyDescent="0.2">
      <c r="B10" s="27"/>
      <c r="C10" s="33"/>
    </row>
    <row r="11" spans="2:3" ht="13" customHeight="1" x14ac:dyDescent="0.2">
      <c r="B11" s="27"/>
      <c r="C11" s="33"/>
    </row>
    <row r="12" spans="2:3" ht="13" customHeight="1" x14ac:dyDescent="0.2">
      <c r="B12" s="27"/>
      <c r="C12" s="33"/>
    </row>
    <row r="13" spans="2:3" ht="13" customHeight="1" x14ac:dyDescent="0.2">
      <c r="B13" s="27"/>
      <c r="C13" s="33"/>
    </row>
    <row r="14" spans="2:3" ht="13" customHeight="1" x14ac:dyDescent="0.2">
      <c r="B14" s="27"/>
      <c r="C14" s="33"/>
    </row>
    <row r="15" spans="2:3" ht="13" customHeight="1" x14ac:dyDescent="0.2">
      <c r="B15" s="27"/>
      <c r="C15" s="33"/>
    </row>
    <row r="16" spans="2:3" ht="13" customHeight="1" x14ac:dyDescent="0.2">
      <c r="B16" s="27"/>
      <c r="C16" s="33"/>
    </row>
    <row r="17" spans="2:3" ht="13" customHeight="1" x14ac:dyDescent="0.2">
      <c r="B17" s="27"/>
      <c r="C17" s="33"/>
    </row>
    <row r="18" spans="2:3" ht="13" customHeight="1" x14ac:dyDescent="0.2">
      <c r="B18" s="27"/>
      <c r="C18" s="33"/>
    </row>
    <row r="19" spans="2:3" ht="13" customHeight="1" x14ac:dyDescent="0.2">
      <c r="B19" s="27"/>
      <c r="C19" s="33"/>
    </row>
    <row r="20" spans="2:3" ht="13" customHeight="1" x14ac:dyDescent="0.2">
      <c r="B20" s="27"/>
      <c r="C20" s="33"/>
    </row>
    <row r="21" spans="2:3" x14ac:dyDescent="0.2">
      <c r="B21" s="27"/>
      <c r="C21" s="30" t="s">
        <v>73</v>
      </c>
    </row>
    <row r="22" spans="2:3" x14ac:dyDescent="0.2">
      <c r="B22" s="27"/>
      <c r="C22" s="24" t="s">
        <v>74</v>
      </c>
    </row>
    <row r="23" spans="2:3" x14ac:dyDescent="0.2">
      <c r="B23" s="22"/>
      <c r="C23" s="23"/>
    </row>
    <row r="24" spans="2:3" x14ac:dyDescent="0.2">
      <c r="B24" s="22"/>
      <c r="C24" s="23"/>
    </row>
    <row r="25" spans="2:3" x14ac:dyDescent="0.2">
      <c r="B25" s="22"/>
      <c r="C25" s="23"/>
    </row>
    <row r="26" spans="2:3" x14ac:dyDescent="0.2">
      <c r="B26" s="22"/>
      <c r="C26" s="23"/>
    </row>
    <row r="27" spans="2:3" x14ac:dyDescent="0.2">
      <c r="B27" s="22"/>
      <c r="C27" s="23"/>
    </row>
    <row r="28" spans="2:3" x14ac:dyDescent="0.2">
      <c r="B28" s="22"/>
      <c r="C28" s="23"/>
    </row>
    <row r="29" spans="2:3" x14ac:dyDescent="0.2">
      <c r="B29" s="22"/>
      <c r="C29" s="23"/>
    </row>
    <row r="30" spans="2:3" x14ac:dyDescent="0.2">
      <c r="B30" s="22"/>
      <c r="C30" s="23"/>
    </row>
    <row r="31" spans="2:3" x14ac:dyDescent="0.2">
      <c r="B31" s="22"/>
      <c r="C31" s="23"/>
    </row>
    <row r="32" spans="2:3" x14ac:dyDescent="0.2">
      <c r="B32" s="22"/>
      <c r="C32" s="23"/>
    </row>
    <row r="33" spans="2:3" x14ac:dyDescent="0.2">
      <c r="B33" s="22"/>
      <c r="C33" s="23"/>
    </row>
    <row r="34" spans="2:3" x14ac:dyDescent="0.2">
      <c r="B34" s="22"/>
      <c r="C34" s="23"/>
    </row>
    <row r="35" spans="2:3" x14ac:dyDescent="0.2">
      <c r="B35" s="22"/>
      <c r="C35" s="23"/>
    </row>
    <row r="36" spans="2:3" x14ac:dyDescent="0.2">
      <c r="B36" s="22"/>
      <c r="C36" s="30" t="s">
        <v>41</v>
      </c>
    </row>
    <row r="37" spans="2:3" x14ac:dyDescent="0.2">
      <c r="B37" s="22"/>
      <c r="C37" s="24" t="s">
        <v>42</v>
      </c>
    </row>
    <row r="38" spans="2:3" x14ac:dyDescent="0.2">
      <c r="B38" s="22"/>
      <c r="C38" s="23"/>
    </row>
    <row r="39" spans="2:3" x14ac:dyDescent="0.2">
      <c r="B39" s="22"/>
      <c r="C39" s="23"/>
    </row>
    <row r="40" spans="2:3" x14ac:dyDescent="0.2">
      <c r="B40" s="22"/>
      <c r="C40" s="23"/>
    </row>
    <row r="41" spans="2:3" x14ac:dyDescent="0.2">
      <c r="B41" s="22"/>
      <c r="C41" s="23"/>
    </row>
    <row r="42" spans="2:3" x14ac:dyDescent="0.2">
      <c r="B42" s="22"/>
      <c r="C42" s="23"/>
    </row>
    <row r="43" spans="2:3" x14ac:dyDescent="0.2">
      <c r="B43" s="22"/>
      <c r="C43" s="23"/>
    </row>
    <row r="44" spans="2:3" x14ac:dyDescent="0.2">
      <c r="B44" s="22"/>
      <c r="C44" s="23"/>
    </row>
    <row r="45" spans="2:3" x14ac:dyDescent="0.2">
      <c r="B45" s="22"/>
      <c r="C45" s="23"/>
    </row>
    <row r="46" spans="2:3" x14ac:dyDescent="0.2">
      <c r="B46" s="22"/>
      <c r="C46" s="23"/>
    </row>
    <row r="47" spans="2:3" x14ac:dyDescent="0.2">
      <c r="B47" s="22"/>
      <c r="C47" s="23"/>
    </row>
    <row r="48" spans="2:3" x14ac:dyDescent="0.2">
      <c r="B48" s="22"/>
      <c r="C48" s="23"/>
    </row>
    <row r="49" spans="2:5" x14ac:dyDescent="0.2">
      <c r="B49" s="22"/>
      <c r="C49" s="23"/>
    </row>
    <row r="50" spans="2:5" x14ac:dyDescent="0.2">
      <c r="B50" s="22"/>
    </row>
    <row r="51" spans="2:5" ht="16" thickBot="1" x14ac:dyDescent="0.25">
      <c r="B51" s="25"/>
      <c r="C51" s="26"/>
    </row>
    <row r="52" spans="2:5" ht="16" thickBot="1" x14ac:dyDescent="0.25">
      <c r="B52" s="1"/>
      <c r="C52" s="1"/>
    </row>
    <row r="53" spans="2:5" ht="35" customHeight="1" thickBot="1" x14ac:dyDescent="0.25">
      <c r="B53" s="31"/>
      <c r="C53" s="32" t="s">
        <v>59</v>
      </c>
      <c r="D53" s="1"/>
      <c r="E53" s="1"/>
    </row>
    <row r="54" spans="2:5" x14ac:dyDescent="0.2">
      <c r="B54" s="22"/>
      <c r="C54" s="2" t="s">
        <v>33</v>
      </c>
      <c r="D54" s="1"/>
      <c r="E54" s="1"/>
    </row>
    <row r="55" spans="2:5" x14ac:dyDescent="0.2">
      <c r="B55" s="22"/>
      <c r="C55" s="28" t="s">
        <v>60</v>
      </c>
      <c r="D55" s="1"/>
      <c r="E55" s="1"/>
    </row>
    <row r="56" spans="2:5" x14ac:dyDescent="0.2">
      <c r="B56" s="22"/>
      <c r="C56" s="29" t="s">
        <v>34</v>
      </c>
      <c r="D56" s="1"/>
      <c r="E56" s="1"/>
    </row>
    <row r="57" spans="2:5" x14ac:dyDescent="0.2">
      <c r="B57" s="22"/>
      <c r="C57" s="29"/>
      <c r="D57" s="1"/>
      <c r="E57" s="1"/>
    </row>
    <row r="58" spans="2:5" x14ac:dyDescent="0.2">
      <c r="B58" s="22"/>
      <c r="C58" s="23"/>
    </row>
    <row r="59" spans="2:5" x14ac:dyDescent="0.2">
      <c r="B59" s="22"/>
      <c r="C59" s="23"/>
    </row>
    <row r="60" spans="2:5" x14ac:dyDescent="0.2">
      <c r="B60" s="22"/>
      <c r="C60" s="23"/>
    </row>
    <row r="61" spans="2:5" x14ac:dyDescent="0.2">
      <c r="B61" s="22"/>
      <c r="C61" s="23"/>
    </row>
    <row r="62" spans="2:5" x14ac:dyDescent="0.2">
      <c r="B62" s="22"/>
      <c r="C62" s="23"/>
    </row>
    <row r="63" spans="2:5" x14ac:dyDescent="0.2">
      <c r="B63" s="22"/>
      <c r="C63" s="23"/>
    </row>
    <row r="64" spans="2:5" x14ac:dyDescent="0.2">
      <c r="B64" s="22"/>
      <c r="C64" s="23"/>
    </row>
    <row r="65" spans="2:3" x14ac:dyDescent="0.2">
      <c r="B65" s="22"/>
      <c r="C65" s="23"/>
    </row>
    <row r="66" spans="2:3" x14ac:dyDescent="0.2">
      <c r="B66" s="22"/>
      <c r="C66" s="23"/>
    </row>
    <row r="67" spans="2:3" x14ac:dyDescent="0.2">
      <c r="B67" s="22"/>
      <c r="C67" s="28" t="s">
        <v>61</v>
      </c>
    </row>
    <row r="68" spans="2:3" x14ac:dyDescent="0.2">
      <c r="B68" s="22"/>
      <c r="C68" s="29" t="s">
        <v>35</v>
      </c>
    </row>
    <row r="69" spans="2:3" x14ac:dyDescent="0.2">
      <c r="B69" s="22"/>
      <c r="C69" s="23"/>
    </row>
    <row r="70" spans="2:3" x14ac:dyDescent="0.2">
      <c r="B70" s="22"/>
      <c r="C70" s="23"/>
    </row>
    <row r="71" spans="2:3" x14ac:dyDescent="0.2">
      <c r="B71" s="22"/>
      <c r="C71" s="23"/>
    </row>
    <row r="72" spans="2:3" x14ac:dyDescent="0.2">
      <c r="B72" s="22"/>
      <c r="C72" s="23"/>
    </row>
    <row r="73" spans="2:3" x14ac:dyDescent="0.2">
      <c r="B73" s="22"/>
      <c r="C73" s="23"/>
    </row>
    <row r="74" spans="2:3" x14ac:dyDescent="0.2">
      <c r="B74" s="22"/>
      <c r="C74" s="23"/>
    </row>
    <row r="75" spans="2:3" x14ac:dyDescent="0.2">
      <c r="B75" s="22"/>
      <c r="C75" s="23"/>
    </row>
    <row r="76" spans="2:3" x14ac:dyDescent="0.2">
      <c r="B76" s="22"/>
      <c r="C76" s="23"/>
    </row>
    <row r="77" spans="2:3" x14ac:dyDescent="0.2">
      <c r="B77" s="22"/>
      <c r="C77" s="23"/>
    </row>
    <row r="78" spans="2:3" x14ac:dyDescent="0.2">
      <c r="B78" s="22"/>
      <c r="C78" s="30" t="s">
        <v>62</v>
      </c>
    </row>
    <row r="79" spans="2:3" x14ac:dyDescent="0.2">
      <c r="B79" s="22"/>
      <c r="C79" s="24" t="s">
        <v>63</v>
      </c>
    </row>
    <row r="80" spans="2:3" x14ac:dyDescent="0.2">
      <c r="B80" s="22"/>
      <c r="C80" s="23"/>
    </row>
    <row r="81" spans="2:3" x14ac:dyDescent="0.2">
      <c r="B81" s="22"/>
      <c r="C81" s="23"/>
    </row>
    <row r="82" spans="2:3" x14ac:dyDescent="0.2">
      <c r="B82" s="22"/>
      <c r="C82" s="23"/>
    </row>
    <row r="83" spans="2:3" x14ac:dyDescent="0.2">
      <c r="B83" s="22"/>
      <c r="C83" s="23"/>
    </row>
    <row r="84" spans="2:3" x14ac:dyDescent="0.2">
      <c r="B84" s="22"/>
      <c r="C84" s="23"/>
    </row>
    <row r="85" spans="2:3" x14ac:dyDescent="0.2">
      <c r="B85" s="22"/>
      <c r="C85" s="23"/>
    </row>
    <row r="86" spans="2:3" x14ac:dyDescent="0.2">
      <c r="B86" s="22"/>
      <c r="C86" s="23"/>
    </row>
    <row r="87" spans="2:3" x14ac:dyDescent="0.2">
      <c r="B87" s="22"/>
      <c r="C87" s="23"/>
    </row>
    <row r="88" spans="2:3" x14ac:dyDescent="0.2">
      <c r="B88" s="22"/>
      <c r="C88" s="23"/>
    </row>
    <row r="89" spans="2:3" x14ac:dyDescent="0.2">
      <c r="B89" s="22"/>
      <c r="C89" s="23"/>
    </row>
    <row r="90" spans="2:3" x14ac:dyDescent="0.2">
      <c r="B90" s="22"/>
      <c r="C90" s="23"/>
    </row>
    <row r="91" spans="2:3" x14ac:dyDescent="0.2">
      <c r="B91" s="22"/>
      <c r="C91" s="23"/>
    </row>
    <row r="92" spans="2:3" x14ac:dyDescent="0.2">
      <c r="B92" s="22"/>
      <c r="C92" s="23"/>
    </row>
    <row r="93" spans="2:3" x14ac:dyDescent="0.2">
      <c r="B93" s="22"/>
      <c r="C93" s="23"/>
    </row>
    <row r="94" spans="2:3" x14ac:dyDescent="0.2">
      <c r="B94" s="22"/>
      <c r="C94" s="23"/>
    </row>
    <row r="95" spans="2:3" x14ac:dyDescent="0.2">
      <c r="B95" s="22"/>
      <c r="C95" s="23"/>
    </row>
    <row r="96" spans="2:3" x14ac:dyDescent="0.2">
      <c r="B96" s="22"/>
      <c r="C96" s="23"/>
    </row>
    <row r="97" spans="2:3" x14ac:dyDescent="0.2">
      <c r="B97" s="22"/>
      <c r="C97" s="23"/>
    </row>
    <row r="98" spans="2:3" ht="16" thickBot="1" x14ac:dyDescent="0.25">
      <c r="B98" s="25"/>
      <c r="C98" s="26"/>
    </row>
  </sheetData>
  <hyperlinks>
    <hyperlink ref="C56" r:id="rId1" xr:uid="{105D0069-6C95-0546-84D2-C9079C90B072}"/>
    <hyperlink ref="C68" r:id="rId2" xr:uid="{C49F1FE4-93C6-6643-AF59-42D4933F16CA}"/>
    <hyperlink ref="C79" r:id="rId3" xr:uid="{081A4308-E5EF-9944-AD7E-195FFD541745}"/>
    <hyperlink ref="C22" r:id="rId4" xr:uid="{3F4061B7-B018-A744-AAC0-F22F1966FB95}"/>
    <hyperlink ref="C37" r:id="rId5" xr:uid="{8721C690-AEFA-6840-902C-AA577D773794}"/>
  </hyperlinks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Calendario</vt:lpstr>
      <vt:lpstr>Plat. Estratégica</vt:lpstr>
      <vt:lpstr>Plan de acción</vt:lpstr>
      <vt:lpstr>Agenda 2023</vt:lpstr>
      <vt:lpstr>Reg. Hábitos</vt:lpstr>
      <vt:lpstr>Matriz Importante Urgente</vt:lpstr>
      <vt:lpstr>Recursos recomendados</vt:lpstr>
      <vt:lpstr>Año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Jose Gonzalez Hernandez</dc:creator>
  <cp:lastModifiedBy>Microsoft Office User</cp:lastModifiedBy>
  <dcterms:created xsi:type="dcterms:W3CDTF">2016-03-20T18:51:23Z</dcterms:created>
  <dcterms:modified xsi:type="dcterms:W3CDTF">2022-12-29T10:09:45Z</dcterms:modified>
</cp:coreProperties>
</file>